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24226"/>
  <mc:AlternateContent xmlns:mc="http://schemas.openxmlformats.org/markup-compatibility/2006">
    <mc:Choice Requires="x15">
      <x15ac:absPath xmlns:x15ac="http://schemas.microsoft.com/office/spreadsheetml/2010/11/ac" url="D:\HOTY\HOTY2025\配布資料\"/>
    </mc:Choice>
  </mc:AlternateContent>
  <xr:revisionPtr revIDLastSave="0" documentId="13_ncr:1_{720B66CA-0CB4-43BE-89FE-1153D89CDC8E}" xr6:coauthVersionLast="47" xr6:coauthVersionMax="47" xr10:uidLastSave="{00000000-0000-0000-0000-000000000000}"/>
  <workbookProtection workbookAlgorithmName="SHA-512" workbookHashValue="ARK9E/5Zn95j+nBsUn87YsOgfM+jUn8xWSVQWdaXpoEM75W4Y+PvOi63W6Je3Gd6/mNi5Cmg3VS9eZ90tqiTZw==" workbookSaltValue="ucJcO8CgSyyEe/BEohiLKQ==" workbookSpinCount="100000" lockStructure="1"/>
  <bookViews>
    <workbookView xWindow="12555" yWindow="735" windowWidth="14295" windowHeight="14250" xr2:uid="{30659BFF-48FA-4949-AFB8-B3FCB66D5D78}"/>
  </bookViews>
  <sheets>
    <sheet name="入力要領" sheetId="9" r:id="rId1"/>
    <sheet name="U値" sheetId="7" r:id="rId2"/>
    <sheet name="Ψ値" sheetId="11" state="hidden" r:id="rId3"/>
    <sheet name="U値2" sheetId="14" r:id="rId4"/>
    <sheet name="U値3" sheetId="16" r:id="rId5"/>
    <sheet name="UA値等" sheetId="8" r:id="rId6"/>
    <sheet name="UA値等2" sheetId="12" r:id="rId7"/>
    <sheet name="UA値等3" sheetId="13" r:id="rId8"/>
    <sheet name="UA値等4" sheetId="15" r:id="rId9"/>
    <sheet name="付録" sheetId="10" r:id="rId10"/>
    <sheet name="方位係数" sheetId="5" state="hidden" r:id="rId11"/>
  </sheets>
  <definedNames>
    <definedName name="Mの選択肢">Ψ値!$K$2:$K$8</definedName>
    <definedName name="NTの選択肢">Ψ値!$N$2:$N$8</definedName>
    <definedName name="ORの選択肢">Ψ値!$E$2:$E$8</definedName>
    <definedName name="_xlnm.Print_Area" localSheetId="5">UA値等!$A$1:$O$113</definedName>
    <definedName name="_xlnm.Print_Area" localSheetId="6">UA値等2!$A$1:$O$113</definedName>
    <definedName name="_xlnm.Print_Area" localSheetId="7">UA値等3!$A$1:$O$113</definedName>
    <definedName name="_xlnm.Print_Area" localSheetId="8">UA値等4!$A$1:$O$113</definedName>
    <definedName name="_xlnm.Print_Area" localSheetId="1">U値!$A$1:$L$138</definedName>
    <definedName name="_xlnm.Print_Area" localSheetId="3">U値2!$A$1:$L$138</definedName>
    <definedName name="_xlnm.Print_Area" localSheetId="4">U値3!$A$1:$L$138</definedName>
    <definedName name="_xlnm.Print_Area" localSheetId="0">入力要領!$A$1:$M$37</definedName>
    <definedName name="_xlnm.Print_Area" localSheetId="9">付録!$A$1:$K$147</definedName>
    <definedName name="QSの選択肢">Ψ値!$B$2:$B$6</definedName>
    <definedName name="U値_その他" localSheetId="3">U値2!$H$86</definedName>
    <definedName name="U値_その他" localSheetId="4">U値3!$H$86</definedName>
    <definedName name="U値_その他">U値!$H$86</definedName>
    <definedName name="U値_屋根天井" localSheetId="3">U値2!$H$47</definedName>
    <definedName name="U値_屋根天井" localSheetId="4">U値3!$H$47</definedName>
    <definedName name="U値_屋根天井">U値!$H$47</definedName>
    <definedName name="U値_外壁" localSheetId="3">U値2!$H$34</definedName>
    <definedName name="U値_外壁" localSheetId="4">U値3!$H$34</definedName>
    <definedName name="U値_外壁">U値!$H$34</definedName>
    <definedName name="U値_基礎1" localSheetId="3">U値2!#REF!</definedName>
    <definedName name="U値_基礎1" localSheetId="4">U値3!#REF!</definedName>
    <definedName name="U値_基礎1">U値!#REF!</definedName>
    <definedName name="U値_基礎2" localSheetId="3">U値2!#REF!</definedName>
    <definedName name="U値_基礎2" localSheetId="4">U値3!#REF!</definedName>
    <definedName name="U値_基礎2">U値!#REF!</definedName>
    <definedName name="U値_床" localSheetId="3">U値2!$H$60</definedName>
    <definedName name="U値_床" localSheetId="4">U値3!$H$60</definedName>
    <definedName name="U値_床">U値!$H$60</definedName>
    <definedName name="基礎形状">Ψ値!$H$2:$H$6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137" i="16" l="1"/>
  <c r="C137" i="16"/>
  <c r="L136" i="16"/>
  <c r="L138" i="16" s="1"/>
  <c r="C136" i="16"/>
  <c r="L135" i="16"/>
  <c r="C135" i="16"/>
  <c r="L134" i="16"/>
  <c r="L133" i="16"/>
  <c r="K138" i="16" s="1"/>
  <c r="L129" i="16"/>
  <c r="C129" i="16"/>
  <c r="L128" i="16"/>
  <c r="L130" i="16" s="1"/>
  <c r="C128" i="16"/>
  <c r="L127" i="16"/>
  <c r="C127" i="16"/>
  <c r="L126" i="16"/>
  <c r="L125" i="16"/>
  <c r="K130" i="16" s="1"/>
  <c r="L121" i="16"/>
  <c r="C121" i="16"/>
  <c r="L120" i="16"/>
  <c r="L122" i="16" s="1"/>
  <c r="C120" i="16"/>
  <c r="L119" i="16"/>
  <c r="C119" i="16"/>
  <c r="L118" i="16"/>
  <c r="L117" i="16"/>
  <c r="K122" i="16" s="1"/>
  <c r="H113" i="16"/>
  <c r="K111" i="16"/>
  <c r="K112" i="16" s="1"/>
  <c r="J111" i="16"/>
  <c r="J112" i="16" s="1"/>
  <c r="I111" i="16"/>
  <c r="I112" i="16" s="1"/>
  <c r="H111" i="16"/>
  <c r="H112" i="16" s="1"/>
  <c r="H100" i="16"/>
  <c r="K99" i="16"/>
  <c r="J99" i="16"/>
  <c r="K98" i="16"/>
  <c r="J98" i="16"/>
  <c r="I98" i="16"/>
  <c r="I99" i="16" s="1"/>
  <c r="H98" i="16"/>
  <c r="H99" i="16" s="1"/>
  <c r="H86" i="16"/>
  <c r="K85" i="16"/>
  <c r="J85" i="16"/>
  <c r="I85" i="16"/>
  <c r="H85" i="16"/>
  <c r="K84" i="16"/>
  <c r="J84" i="16"/>
  <c r="I84" i="16"/>
  <c r="H84" i="16"/>
  <c r="H73" i="16"/>
  <c r="J72" i="16"/>
  <c r="H72" i="16"/>
  <c r="K71" i="16"/>
  <c r="K72" i="16" s="1"/>
  <c r="J71" i="16"/>
  <c r="I71" i="16"/>
  <c r="I72" i="16" s="1"/>
  <c r="H71" i="16"/>
  <c r="H60" i="16"/>
  <c r="K58" i="16"/>
  <c r="K59" i="16" s="1"/>
  <c r="J58" i="16"/>
  <c r="J59" i="16" s="1"/>
  <c r="I58" i="16"/>
  <c r="I59" i="16" s="1"/>
  <c r="H58" i="16"/>
  <c r="H59" i="16" s="1"/>
  <c r="H47" i="16"/>
  <c r="K46" i="16"/>
  <c r="J46" i="16"/>
  <c r="K45" i="16"/>
  <c r="J45" i="16"/>
  <c r="I45" i="16"/>
  <c r="I46" i="16" s="1"/>
  <c r="H45" i="16"/>
  <c r="H46" i="16" s="1"/>
  <c r="H34" i="16"/>
  <c r="K33" i="16"/>
  <c r="J33" i="16"/>
  <c r="I33" i="16"/>
  <c r="H33" i="16"/>
  <c r="K32" i="16"/>
  <c r="J32" i="16"/>
  <c r="I32" i="16"/>
  <c r="H32" i="16"/>
  <c r="J18" i="16"/>
  <c r="K17" i="16"/>
  <c r="K18" i="16" s="1"/>
  <c r="J17" i="16"/>
  <c r="I15" i="16"/>
  <c r="H15" i="16"/>
  <c r="I14" i="16"/>
  <c r="H13" i="16"/>
  <c r="I12" i="16"/>
  <c r="I17" i="16" s="1"/>
  <c r="I18" i="16" s="1"/>
  <c r="H12" i="16"/>
  <c r="H17" i="16" s="1"/>
  <c r="H18" i="16" s="1"/>
  <c r="C156" i="15"/>
  <c r="C155" i="15"/>
  <c r="C154" i="15"/>
  <c r="C153" i="15"/>
  <c r="C152" i="15"/>
  <c r="C151" i="15"/>
  <c r="C150" i="15"/>
  <c r="C149" i="15"/>
  <c r="C148" i="15"/>
  <c r="C147" i="15"/>
  <c r="C146" i="15"/>
  <c r="C145" i="15"/>
  <c r="C144" i="15"/>
  <c r="C143" i="15"/>
  <c r="C142" i="15"/>
  <c r="L107" i="15"/>
  <c r="J107" i="15"/>
  <c r="H107" i="15"/>
  <c r="F107" i="15"/>
  <c r="C107" i="15"/>
  <c r="F106" i="15"/>
  <c r="C106" i="15"/>
  <c r="N98" i="15"/>
  <c r="O98" i="15" s="1"/>
  <c r="K98" i="15"/>
  <c r="L98" i="15" s="1"/>
  <c r="E98" i="15"/>
  <c r="H98" i="15" s="1"/>
  <c r="N97" i="15"/>
  <c r="O97" i="15" s="1"/>
  <c r="K97" i="15"/>
  <c r="L97" i="15" s="1"/>
  <c r="E97" i="15"/>
  <c r="H97" i="15" s="1"/>
  <c r="N96" i="15"/>
  <c r="O96" i="15" s="1"/>
  <c r="K96" i="15"/>
  <c r="L96" i="15" s="1"/>
  <c r="E96" i="15"/>
  <c r="H96" i="15" s="1"/>
  <c r="N95" i="15"/>
  <c r="O95" i="15" s="1"/>
  <c r="K95" i="15"/>
  <c r="L95" i="15" s="1"/>
  <c r="E95" i="15"/>
  <c r="H95" i="15" s="1"/>
  <c r="N94" i="15"/>
  <c r="O94" i="15" s="1"/>
  <c r="K94" i="15"/>
  <c r="L94" i="15" s="1"/>
  <c r="E94" i="15"/>
  <c r="H94" i="15" s="1"/>
  <c r="N93" i="15"/>
  <c r="O93" i="15" s="1"/>
  <c r="K93" i="15"/>
  <c r="L93" i="15" s="1"/>
  <c r="E93" i="15"/>
  <c r="H93" i="15" s="1"/>
  <c r="N92" i="15"/>
  <c r="O92" i="15" s="1"/>
  <c r="K92" i="15"/>
  <c r="L92" i="15" s="1"/>
  <c r="E92" i="15"/>
  <c r="H92" i="15" s="1"/>
  <c r="N91" i="15"/>
  <c r="O91" i="15" s="1"/>
  <c r="K91" i="15"/>
  <c r="L91" i="15" s="1"/>
  <c r="E91" i="15"/>
  <c r="H91" i="15" s="1"/>
  <c r="N90" i="15"/>
  <c r="O90" i="15" s="1"/>
  <c r="K90" i="15"/>
  <c r="L90" i="15" s="1"/>
  <c r="E90" i="15"/>
  <c r="H90" i="15" s="1"/>
  <c r="N89" i="15"/>
  <c r="O89" i="15" s="1"/>
  <c r="K89" i="15"/>
  <c r="L89" i="15" s="1"/>
  <c r="E89" i="15"/>
  <c r="H89" i="15" s="1"/>
  <c r="N88" i="15"/>
  <c r="O88" i="15" s="1"/>
  <c r="K88" i="15"/>
  <c r="L88" i="15" s="1"/>
  <c r="E88" i="15"/>
  <c r="H88" i="15" s="1"/>
  <c r="N87" i="15"/>
  <c r="O87" i="15" s="1"/>
  <c r="K87" i="15"/>
  <c r="L87" i="15" s="1"/>
  <c r="E87" i="15"/>
  <c r="H87" i="15" s="1"/>
  <c r="N86" i="15"/>
  <c r="O86" i="15" s="1"/>
  <c r="K86" i="15"/>
  <c r="L86" i="15" s="1"/>
  <c r="E86" i="15"/>
  <c r="H86" i="15" s="1"/>
  <c r="N85" i="15"/>
  <c r="O85" i="15" s="1"/>
  <c r="K85" i="15"/>
  <c r="L85" i="15" s="1"/>
  <c r="H85" i="15"/>
  <c r="N84" i="15"/>
  <c r="O84" i="15" s="1"/>
  <c r="L84" i="15"/>
  <c r="K84" i="15"/>
  <c r="H84" i="15"/>
  <c r="E84" i="15"/>
  <c r="O83" i="15"/>
  <c r="N83" i="15"/>
  <c r="L83" i="15"/>
  <c r="K83" i="15"/>
  <c r="H83" i="15"/>
  <c r="E83" i="15"/>
  <c r="N82" i="15"/>
  <c r="O82" i="15" s="1"/>
  <c r="O99" i="15" s="1"/>
  <c r="K108" i="15" s="1"/>
  <c r="L82" i="15"/>
  <c r="L99" i="15" s="1"/>
  <c r="M108" i="15" s="1"/>
  <c r="K82" i="15"/>
  <c r="H82" i="15"/>
  <c r="H99" i="15" s="1"/>
  <c r="I108" i="15" s="1"/>
  <c r="E82" i="15"/>
  <c r="E99" i="15" s="1"/>
  <c r="G108" i="15" s="1"/>
  <c r="L77" i="15"/>
  <c r="J77" i="15"/>
  <c r="K77" i="15" s="1"/>
  <c r="I77" i="15"/>
  <c r="E77" i="15"/>
  <c r="E78" i="15" s="1"/>
  <c r="G109" i="15" s="1"/>
  <c r="L76" i="15"/>
  <c r="M76" i="15" s="1"/>
  <c r="M78" i="15" s="1"/>
  <c r="K109" i="15" s="1"/>
  <c r="J76" i="15"/>
  <c r="K76" i="15" s="1"/>
  <c r="K78" i="15" s="1"/>
  <c r="M109" i="15" s="1"/>
  <c r="I76" i="15"/>
  <c r="H76" i="15"/>
  <c r="M71" i="15"/>
  <c r="N71" i="15" s="1"/>
  <c r="K71" i="15"/>
  <c r="L71" i="15" s="1"/>
  <c r="J71" i="15"/>
  <c r="I71" i="15"/>
  <c r="F71" i="15"/>
  <c r="M70" i="15"/>
  <c r="K70" i="15"/>
  <c r="L70" i="15" s="1"/>
  <c r="J70" i="15"/>
  <c r="F70" i="15"/>
  <c r="N70" i="15" s="1"/>
  <c r="M69" i="15"/>
  <c r="N69" i="15" s="1"/>
  <c r="K69" i="15"/>
  <c r="L69" i="15" s="1"/>
  <c r="J69" i="15"/>
  <c r="I69" i="15"/>
  <c r="F69" i="15"/>
  <c r="M68" i="15"/>
  <c r="N68" i="15" s="1"/>
  <c r="K68" i="15"/>
  <c r="J68" i="15"/>
  <c r="L68" i="15" s="1"/>
  <c r="F68" i="15"/>
  <c r="I68" i="15" s="1"/>
  <c r="M67" i="15"/>
  <c r="N67" i="15" s="1"/>
  <c r="K67" i="15"/>
  <c r="L67" i="15" s="1"/>
  <c r="J67" i="15"/>
  <c r="F67" i="15"/>
  <c r="I67" i="15" s="1"/>
  <c r="N66" i="15"/>
  <c r="M66" i="15"/>
  <c r="L66" i="15"/>
  <c r="K66" i="15"/>
  <c r="J66" i="15"/>
  <c r="F66" i="15"/>
  <c r="I66" i="15" s="1"/>
  <c r="M64" i="15"/>
  <c r="N64" i="15" s="1"/>
  <c r="K64" i="15"/>
  <c r="L64" i="15" s="1"/>
  <c r="J64" i="15"/>
  <c r="I64" i="15"/>
  <c r="F64" i="15"/>
  <c r="N63" i="15"/>
  <c r="M63" i="15"/>
  <c r="K63" i="15"/>
  <c r="J63" i="15"/>
  <c r="F63" i="15"/>
  <c r="I63" i="15" s="1"/>
  <c r="M62" i="15"/>
  <c r="N62" i="15" s="1"/>
  <c r="N72" i="15" s="1"/>
  <c r="K107" i="15" s="1"/>
  <c r="K62" i="15"/>
  <c r="L62" i="15" s="1"/>
  <c r="L72" i="15" s="1"/>
  <c r="M107" i="15" s="1"/>
  <c r="J62" i="15"/>
  <c r="I62" i="15"/>
  <c r="F62" i="15"/>
  <c r="J57" i="15"/>
  <c r="F57" i="15"/>
  <c r="F58" i="15" s="1"/>
  <c r="N56" i="15"/>
  <c r="L56" i="15"/>
  <c r="J56" i="15"/>
  <c r="I56" i="15"/>
  <c r="F56" i="15"/>
  <c r="F51" i="15"/>
  <c r="I51" i="15" s="1"/>
  <c r="I52" i="15" s="1"/>
  <c r="F49" i="15"/>
  <c r="G106" i="15" s="1"/>
  <c r="M48" i="15"/>
  <c r="N48" i="15" s="1"/>
  <c r="K48" i="15"/>
  <c r="L48" i="15" s="1"/>
  <c r="J48" i="15"/>
  <c r="I48" i="15"/>
  <c r="F48" i="15"/>
  <c r="M47" i="15"/>
  <c r="K47" i="15"/>
  <c r="L47" i="15" s="1"/>
  <c r="J47" i="15"/>
  <c r="F47" i="15"/>
  <c r="N47" i="15" s="1"/>
  <c r="M46" i="15"/>
  <c r="N46" i="15" s="1"/>
  <c r="K46" i="15"/>
  <c r="L46" i="15" s="1"/>
  <c r="J46" i="15"/>
  <c r="I46" i="15"/>
  <c r="F46" i="15"/>
  <c r="M45" i="15"/>
  <c r="N45" i="15" s="1"/>
  <c r="N49" i="15" s="1"/>
  <c r="K106" i="15" s="1"/>
  <c r="K45" i="15"/>
  <c r="J45" i="15"/>
  <c r="L45" i="15" s="1"/>
  <c r="L49" i="15" s="1"/>
  <c r="M106" i="15" s="1"/>
  <c r="F45" i="15"/>
  <c r="I45" i="15" s="1"/>
  <c r="I39" i="15"/>
  <c r="F39" i="15"/>
  <c r="I38" i="15"/>
  <c r="F38" i="15"/>
  <c r="F37" i="15"/>
  <c r="I37" i="15" s="1"/>
  <c r="I36" i="15"/>
  <c r="I40" i="15" s="1"/>
  <c r="F36" i="15"/>
  <c r="F34" i="15"/>
  <c r="J33" i="15"/>
  <c r="L33" i="15" s="1"/>
  <c r="F33" i="15"/>
  <c r="I33" i="15" s="1"/>
  <c r="M32" i="15"/>
  <c r="N32" i="15" s="1"/>
  <c r="K32" i="15"/>
  <c r="L32" i="15" s="1"/>
  <c r="J32" i="15"/>
  <c r="I32" i="15"/>
  <c r="F32" i="15"/>
  <c r="M31" i="15"/>
  <c r="K31" i="15"/>
  <c r="J31" i="15"/>
  <c r="F31" i="15"/>
  <c r="N31" i="15" s="1"/>
  <c r="N30" i="15"/>
  <c r="L30" i="15"/>
  <c r="J30" i="15"/>
  <c r="I30" i="15"/>
  <c r="F30" i="15"/>
  <c r="M29" i="15"/>
  <c r="K29" i="15"/>
  <c r="J29" i="15"/>
  <c r="F29" i="15"/>
  <c r="N29" i="15" s="1"/>
  <c r="M28" i="15"/>
  <c r="N28" i="15" s="1"/>
  <c r="K28" i="15"/>
  <c r="L28" i="15" s="1"/>
  <c r="J28" i="15"/>
  <c r="I28" i="15"/>
  <c r="F28" i="15"/>
  <c r="J26" i="15"/>
  <c r="F26" i="15"/>
  <c r="N26" i="15" s="1"/>
  <c r="M20" i="15"/>
  <c r="N20" i="15" s="1"/>
  <c r="K20" i="15"/>
  <c r="L20" i="15" s="1"/>
  <c r="J20" i="15"/>
  <c r="F20" i="15"/>
  <c r="I20" i="15" s="1"/>
  <c r="N19" i="15"/>
  <c r="M19" i="15"/>
  <c r="L19" i="15"/>
  <c r="K19" i="15"/>
  <c r="J19" i="15"/>
  <c r="F19" i="15"/>
  <c r="I19" i="15" s="1"/>
  <c r="M18" i="15"/>
  <c r="N18" i="15" s="1"/>
  <c r="K18" i="15"/>
  <c r="L18" i="15" s="1"/>
  <c r="J18" i="15"/>
  <c r="I18" i="15"/>
  <c r="F18" i="15"/>
  <c r="N17" i="15"/>
  <c r="M17" i="15"/>
  <c r="K17" i="15"/>
  <c r="J17" i="15"/>
  <c r="F17" i="15"/>
  <c r="I17" i="15" s="1"/>
  <c r="M16" i="15"/>
  <c r="N16" i="15" s="1"/>
  <c r="K16" i="15"/>
  <c r="L16" i="15" s="1"/>
  <c r="J16" i="15"/>
  <c r="I16" i="15"/>
  <c r="M15" i="15"/>
  <c r="N15" i="15" s="1"/>
  <c r="K15" i="15"/>
  <c r="L15" i="15" s="1"/>
  <c r="J15" i="15"/>
  <c r="I15" i="15"/>
  <c r="M14" i="15"/>
  <c r="N14" i="15" s="1"/>
  <c r="K14" i="15"/>
  <c r="L14" i="15" s="1"/>
  <c r="J14" i="15"/>
  <c r="I14" i="15"/>
  <c r="M13" i="15"/>
  <c r="N13" i="15" s="1"/>
  <c r="K13" i="15"/>
  <c r="L13" i="15" s="1"/>
  <c r="J13" i="15"/>
  <c r="I13" i="15"/>
  <c r="M12" i="15"/>
  <c r="N12" i="15" s="1"/>
  <c r="K12" i="15"/>
  <c r="L12" i="15" s="1"/>
  <c r="J12" i="15"/>
  <c r="I12" i="15"/>
  <c r="F12" i="15"/>
  <c r="M11" i="15"/>
  <c r="K11" i="15"/>
  <c r="J11" i="15"/>
  <c r="L11" i="15" s="1"/>
  <c r="F11" i="15"/>
  <c r="I11" i="15" s="1"/>
  <c r="M10" i="15"/>
  <c r="N10" i="15" s="1"/>
  <c r="K10" i="15"/>
  <c r="L10" i="15" s="1"/>
  <c r="J10" i="15"/>
  <c r="I10" i="15"/>
  <c r="F10" i="15"/>
  <c r="M9" i="15"/>
  <c r="K9" i="15"/>
  <c r="J9" i="15"/>
  <c r="F9" i="15"/>
  <c r="N9" i="15" s="1"/>
  <c r="N21" i="15" s="1"/>
  <c r="K105" i="15" s="1"/>
  <c r="K110" i="15" s="1"/>
  <c r="L137" i="14"/>
  <c r="C137" i="14"/>
  <c r="L136" i="14"/>
  <c r="L138" i="14" s="1"/>
  <c r="C136" i="14"/>
  <c r="L135" i="14"/>
  <c r="C135" i="14"/>
  <c r="L134" i="14"/>
  <c r="L133" i="14"/>
  <c r="K138" i="14" s="1"/>
  <c r="I138" i="14" s="1" a="1"/>
  <c r="I138" i="14" s="1"/>
  <c r="L129" i="14"/>
  <c r="C129" i="14"/>
  <c r="L128" i="14"/>
  <c r="L130" i="14" s="1"/>
  <c r="C128" i="14"/>
  <c r="L127" i="14"/>
  <c r="C127" i="14"/>
  <c r="L126" i="14"/>
  <c r="L125" i="14"/>
  <c r="K130" i="14" s="1"/>
  <c r="L121" i="14"/>
  <c r="C121" i="14"/>
  <c r="L120" i="14"/>
  <c r="L122" i="14" s="1"/>
  <c r="C120" i="14"/>
  <c r="L119" i="14"/>
  <c r="C119" i="14"/>
  <c r="L118" i="14"/>
  <c r="L117" i="14"/>
  <c r="K122" i="14" s="1"/>
  <c r="H113" i="14"/>
  <c r="K111" i="14"/>
  <c r="K112" i="14" s="1"/>
  <c r="J111" i="14"/>
  <c r="J112" i="14" s="1"/>
  <c r="I111" i="14"/>
  <c r="I112" i="14" s="1"/>
  <c r="H111" i="14"/>
  <c r="H112" i="14" s="1"/>
  <c r="H100" i="14"/>
  <c r="J99" i="14"/>
  <c r="I99" i="14"/>
  <c r="K98" i="14"/>
  <c r="K99" i="14" s="1"/>
  <c r="J98" i="14"/>
  <c r="I98" i="14"/>
  <c r="H98" i="14"/>
  <c r="H99" i="14" s="1"/>
  <c r="H86" i="14"/>
  <c r="K85" i="14"/>
  <c r="J85" i="14"/>
  <c r="K84" i="14"/>
  <c r="J84" i="14"/>
  <c r="I84" i="14"/>
  <c r="I85" i="14" s="1"/>
  <c r="H84" i="14"/>
  <c r="H85" i="14" s="1"/>
  <c r="H73" i="14"/>
  <c r="J72" i="14"/>
  <c r="I72" i="14"/>
  <c r="H72" i="14"/>
  <c r="K71" i="14"/>
  <c r="K72" i="14" s="1"/>
  <c r="J71" i="14"/>
  <c r="I71" i="14"/>
  <c r="H71" i="14"/>
  <c r="H60" i="14"/>
  <c r="K58" i="14"/>
  <c r="K59" i="14" s="1"/>
  <c r="J58" i="14"/>
  <c r="J59" i="14" s="1"/>
  <c r="I58" i="14"/>
  <c r="I59" i="14" s="1"/>
  <c r="H58" i="14"/>
  <c r="H59" i="14" s="1"/>
  <c r="H47" i="14"/>
  <c r="J46" i="14"/>
  <c r="I46" i="14"/>
  <c r="K45" i="14"/>
  <c r="K46" i="14" s="1"/>
  <c r="J45" i="14"/>
  <c r="I45" i="14"/>
  <c r="H45" i="14"/>
  <c r="H46" i="14" s="1"/>
  <c r="H34" i="14"/>
  <c r="K33" i="14"/>
  <c r="J33" i="14"/>
  <c r="K32" i="14"/>
  <c r="J32" i="14"/>
  <c r="I32" i="14"/>
  <c r="I33" i="14" s="1"/>
  <c r="H32" i="14"/>
  <c r="H33" i="14" s="1"/>
  <c r="J18" i="14"/>
  <c r="K17" i="14"/>
  <c r="K18" i="14" s="1"/>
  <c r="J17" i="14"/>
  <c r="I15" i="14"/>
  <c r="H15" i="14"/>
  <c r="I14" i="14"/>
  <c r="H13" i="14"/>
  <c r="I12" i="14"/>
  <c r="I17" i="14" s="1"/>
  <c r="I18" i="14" s="1"/>
  <c r="H12" i="14"/>
  <c r="C156" i="13"/>
  <c r="C155" i="13"/>
  <c r="C154" i="13"/>
  <c r="C153" i="13"/>
  <c r="C152" i="13"/>
  <c r="C151" i="13"/>
  <c r="C150" i="13"/>
  <c r="C149" i="13"/>
  <c r="C148" i="13"/>
  <c r="C147" i="13"/>
  <c r="C146" i="13"/>
  <c r="C145" i="13"/>
  <c r="C144" i="13"/>
  <c r="C143" i="13"/>
  <c r="C142" i="13"/>
  <c r="L107" i="13"/>
  <c r="J107" i="13"/>
  <c r="H107" i="13"/>
  <c r="F107" i="13"/>
  <c r="C107" i="13"/>
  <c r="F106" i="13"/>
  <c r="C106" i="13"/>
  <c r="H99" i="13"/>
  <c r="I108" i="13" s="1"/>
  <c r="N98" i="13"/>
  <c r="O98" i="13" s="1"/>
  <c r="K98" i="13"/>
  <c r="L98" i="13" s="1"/>
  <c r="E98" i="13"/>
  <c r="H98" i="13" s="1"/>
  <c r="N97" i="13"/>
  <c r="O97" i="13" s="1"/>
  <c r="K97" i="13"/>
  <c r="L97" i="13" s="1"/>
  <c r="H97" i="13"/>
  <c r="E97" i="13"/>
  <c r="N96" i="13"/>
  <c r="O96" i="13" s="1"/>
  <c r="K96" i="13"/>
  <c r="L96" i="13" s="1"/>
  <c r="E96" i="13"/>
  <c r="H96" i="13" s="1"/>
  <c r="N95" i="13"/>
  <c r="O95" i="13" s="1"/>
  <c r="K95" i="13"/>
  <c r="L95" i="13" s="1"/>
  <c r="H95" i="13"/>
  <c r="E95" i="13"/>
  <c r="N94" i="13"/>
  <c r="O94" i="13" s="1"/>
  <c r="K94" i="13"/>
  <c r="L94" i="13" s="1"/>
  <c r="E94" i="13"/>
  <c r="H94" i="13" s="1"/>
  <c r="N93" i="13"/>
  <c r="O93" i="13" s="1"/>
  <c r="K93" i="13"/>
  <c r="L93" i="13" s="1"/>
  <c r="H93" i="13"/>
  <c r="E93" i="13"/>
  <c r="N92" i="13"/>
  <c r="O92" i="13" s="1"/>
  <c r="K92" i="13"/>
  <c r="L92" i="13" s="1"/>
  <c r="E92" i="13"/>
  <c r="H92" i="13" s="1"/>
  <c r="N91" i="13"/>
  <c r="O91" i="13" s="1"/>
  <c r="K91" i="13"/>
  <c r="L91" i="13" s="1"/>
  <c r="H91" i="13"/>
  <c r="E91" i="13"/>
  <c r="N90" i="13"/>
  <c r="O90" i="13" s="1"/>
  <c r="K90" i="13"/>
  <c r="L90" i="13" s="1"/>
  <c r="E90" i="13"/>
  <c r="H90" i="13" s="1"/>
  <c r="N89" i="13"/>
  <c r="O89" i="13" s="1"/>
  <c r="K89" i="13"/>
  <c r="L89" i="13" s="1"/>
  <c r="H89" i="13"/>
  <c r="E89" i="13"/>
  <c r="N88" i="13"/>
  <c r="O88" i="13" s="1"/>
  <c r="K88" i="13"/>
  <c r="L88" i="13" s="1"/>
  <c r="E88" i="13"/>
  <c r="H88" i="13" s="1"/>
  <c r="N87" i="13"/>
  <c r="O87" i="13" s="1"/>
  <c r="K87" i="13"/>
  <c r="L87" i="13" s="1"/>
  <c r="E87" i="13"/>
  <c r="H87" i="13" s="1"/>
  <c r="N86" i="13"/>
  <c r="O86" i="13" s="1"/>
  <c r="K86" i="13"/>
  <c r="L86" i="13" s="1"/>
  <c r="E86" i="13"/>
  <c r="H86" i="13" s="1"/>
  <c r="N85" i="13"/>
  <c r="O85" i="13" s="1"/>
  <c r="K85" i="13"/>
  <c r="L85" i="13" s="1"/>
  <c r="H85" i="13"/>
  <c r="O84" i="13"/>
  <c r="N84" i="13"/>
  <c r="L84" i="13"/>
  <c r="K84" i="13"/>
  <c r="H84" i="13"/>
  <c r="E84" i="13"/>
  <c r="O83" i="13"/>
  <c r="N83" i="13"/>
  <c r="L83" i="13"/>
  <c r="K83" i="13"/>
  <c r="H83" i="13"/>
  <c r="E83" i="13"/>
  <c r="N82" i="13"/>
  <c r="O82" i="13" s="1"/>
  <c r="O99" i="13" s="1"/>
  <c r="K108" i="13" s="1"/>
  <c r="L82" i="13"/>
  <c r="L99" i="13" s="1"/>
  <c r="M108" i="13" s="1"/>
  <c r="K82" i="13"/>
  <c r="H82" i="13"/>
  <c r="E82" i="13"/>
  <c r="E99" i="13" s="1"/>
  <c r="G108" i="13" s="1"/>
  <c r="E78" i="13"/>
  <c r="G109" i="13" s="1"/>
  <c r="M77" i="13"/>
  <c r="L77" i="13"/>
  <c r="J77" i="13"/>
  <c r="K77" i="13" s="1"/>
  <c r="I77" i="13"/>
  <c r="E77" i="13"/>
  <c r="H77" i="13" s="1"/>
  <c r="L76" i="13"/>
  <c r="M76" i="13" s="1"/>
  <c r="M78" i="13" s="1"/>
  <c r="K109" i="13" s="1"/>
  <c r="J76" i="13"/>
  <c r="K76" i="13" s="1"/>
  <c r="K78" i="13" s="1"/>
  <c r="M109" i="13" s="1"/>
  <c r="I76" i="13"/>
  <c r="H76" i="13"/>
  <c r="M71" i="13"/>
  <c r="N71" i="13" s="1"/>
  <c r="K71" i="13"/>
  <c r="L71" i="13" s="1"/>
  <c r="J71" i="13"/>
  <c r="I71" i="13"/>
  <c r="F71" i="13"/>
  <c r="N70" i="13"/>
  <c r="M70" i="13"/>
  <c r="K70" i="13"/>
  <c r="L70" i="13" s="1"/>
  <c r="J70" i="13"/>
  <c r="F70" i="13"/>
  <c r="I70" i="13" s="1"/>
  <c r="M69" i="13"/>
  <c r="N69" i="13" s="1"/>
  <c r="K69" i="13"/>
  <c r="L69" i="13" s="1"/>
  <c r="J69" i="13"/>
  <c r="I69" i="13"/>
  <c r="F69" i="13"/>
  <c r="M68" i="13"/>
  <c r="N68" i="13" s="1"/>
  <c r="K68" i="13"/>
  <c r="J68" i="13"/>
  <c r="F68" i="13"/>
  <c r="L68" i="13" s="1"/>
  <c r="M67" i="13"/>
  <c r="N67" i="13" s="1"/>
  <c r="K67" i="13"/>
  <c r="L67" i="13" s="1"/>
  <c r="J67" i="13"/>
  <c r="F67" i="13"/>
  <c r="I67" i="13" s="1"/>
  <c r="M66" i="13"/>
  <c r="K66" i="13"/>
  <c r="J66" i="13"/>
  <c r="F66" i="13"/>
  <c r="N66" i="13" s="1"/>
  <c r="M64" i="13"/>
  <c r="N64" i="13" s="1"/>
  <c r="L64" i="13"/>
  <c r="K64" i="13"/>
  <c r="J64" i="13"/>
  <c r="I64" i="13"/>
  <c r="F64" i="13"/>
  <c r="M63" i="13"/>
  <c r="K63" i="13"/>
  <c r="J63" i="13"/>
  <c r="F63" i="13"/>
  <c r="I63" i="13" s="1"/>
  <c r="N62" i="13"/>
  <c r="N72" i="13" s="1"/>
  <c r="K107" i="13" s="1"/>
  <c r="M62" i="13"/>
  <c r="K62" i="13"/>
  <c r="L62" i="13" s="1"/>
  <c r="L72" i="13" s="1"/>
  <c r="M107" i="13" s="1"/>
  <c r="J62" i="13"/>
  <c r="I62" i="13"/>
  <c r="F62" i="13"/>
  <c r="N57" i="13"/>
  <c r="J57" i="13"/>
  <c r="F57" i="13"/>
  <c r="F58" i="13" s="1"/>
  <c r="L56" i="13"/>
  <c r="J56" i="13"/>
  <c r="N56" i="13" s="1"/>
  <c r="N58" i="13" s="1"/>
  <c r="I56" i="13"/>
  <c r="F56" i="13"/>
  <c r="F51" i="13"/>
  <c r="I51" i="13" s="1"/>
  <c r="I52" i="13" s="1"/>
  <c r="F49" i="13"/>
  <c r="G106" i="13" s="1"/>
  <c r="M48" i="13"/>
  <c r="N48" i="13" s="1"/>
  <c r="K48" i="13"/>
  <c r="L48" i="13" s="1"/>
  <c r="J48" i="13"/>
  <c r="I48" i="13"/>
  <c r="F48" i="13"/>
  <c r="N47" i="13"/>
  <c r="M47" i="13"/>
  <c r="K47" i="13"/>
  <c r="L47" i="13" s="1"/>
  <c r="J47" i="13"/>
  <c r="F47" i="13"/>
  <c r="I47" i="13" s="1"/>
  <c r="M46" i="13"/>
  <c r="N46" i="13" s="1"/>
  <c r="K46" i="13"/>
  <c r="L46" i="13" s="1"/>
  <c r="J46" i="13"/>
  <c r="I46" i="13"/>
  <c r="F46" i="13"/>
  <c r="M45" i="13"/>
  <c r="N45" i="13" s="1"/>
  <c r="N49" i="13" s="1"/>
  <c r="K106" i="13" s="1"/>
  <c r="K45" i="13"/>
  <c r="J45" i="13"/>
  <c r="F45" i="13"/>
  <c r="L45" i="13" s="1"/>
  <c r="L49" i="13" s="1"/>
  <c r="M106" i="13" s="1"/>
  <c r="I39" i="13"/>
  <c r="F39" i="13"/>
  <c r="I38" i="13"/>
  <c r="F38" i="13"/>
  <c r="F37" i="13"/>
  <c r="I37" i="13" s="1"/>
  <c r="I36" i="13"/>
  <c r="F36" i="13"/>
  <c r="F34" i="13"/>
  <c r="J33" i="13"/>
  <c r="N33" i="13" s="1"/>
  <c r="I33" i="13"/>
  <c r="F33" i="13"/>
  <c r="M32" i="13"/>
  <c r="N32" i="13" s="1"/>
  <c r="K32" i="13"/>
  <c r="L32" i="13" s="1"/>
  <c r="J32" i="13"/>
  <c r="I32" i="13"/>
  <c r="F32" i="13"/>
  <c r="N31" i="13"/>
  <c r="M31" i="13"/>
  <c r="L31" i="13"/>
  <c r="K31" i="13"/>
  <c r="J31" i="13"/>
  <c r="F31" i="13"/>
  <c r="I31" i="13" s="1"/>
  <c r="L30" i="13"/>
  <c r="J30" i="13"/>
  <c r="N30" i="13" s="1"/>
  <c r="I30" i="13"/>
  <c r="F30" i="13"/>
  <c r="N29" i="13"/>
  <c r="M29" i="13"/>
  <c r="L29" i="13"/>
  <c r="K29" i="13"/>
  <c r="J29" i="13"/>
  <c r="F29" i="13"/>
  <c r="I29" i="13" s="1"/>
  <c r="M28" i="13"/>
  <c r="N28" i="13" s="1"/>
  <c r="K28" i="13"/>
  <c r="L28" i="13" s="1"/>
  <c r="J28" i="13"/>
  <c r="I28" i="13"/>
  <c r="F28" i="13"/>
  <c r="N26" i="13"/>
  <c r="L26" i="13"/>
  <c r="L34" i="13" s="1"/>
  <c r="J26" i="13"/>
  <c r="F26" i="13"/>
  <c r="I26" i="13" s="1"/>
  <c r="I34" i="13" s="1"/>
  <c r="M20" i="13"/>
  <c r="N20" i="13" s="1"/>
  <c r="K20" i="13"/>
  <c r="L20" i="13" s="1"/>
  <c r="J20" i="13"/>
  <c r="F20" i="13"/>
  <c r="I20" i="13" s="1"/>
  <c r="M19" i="13"/>
  <c r="K19" i="13"/>
  <c r="J19" i="13"/>
  <c r="F19" i="13"/>
  <c r="N19" i="13" s="1"/>
  <c r="M18" i="13"/>
  <c r="N18" i="13" s="1"/>
  <c r="L18" i="13"/>
  <c r="K18" i="13"/>
  <c r="J18" i="13"/>
  <c r="I18" i="13"/>
  <c r="F18" i="13"/>
  <c r="M17" i="13"/>
  <c r="K17" i="13"/>
  <c r="J17" i="13"/>
  <c r="F17" i="13"/>
  <c r="I17" i="13" s="1"/>
  <c r="N16" i="13"/>
  <c r="M16" i="13"/>
  <c r="K16" i="13"/>
  <c r="L16" i="13" s="1"/>
  <c r="J16" i="13"/>
  <c r="I16" i="13"/>
  <c r="M15" i="13"/>
  <c r="N15" i="13" s="1"/>
  <c r="K15" i="13"/>
  <c r="L15" i="13" s="1"/>
  <c r="J15" i="13"/>
  <c r="I15" i="13"/>
  <c r="N14" i="13"/>
  <c r="M14" i="13"/>
  <c r="K14" i="13"/>
  <c r="L14" i="13" s="1"/>
  <c r="J14" i="13"/>
  <c r="I14" i="13"/>
  <c r="M13" i="13"/>
  <c r="N13" i="13" s="1"/>
  <c r="K13" i="13"/>
  <c r="L13" i="13" s="1"/>
  <c r="J13" i="13"/>
  <c r="I13" i="13"/>
  <c r="N12" i="13"/>
  <c r="M12" i="13"/>
  <c r="K12" i="13"/>
  <c r="L12" i="13" s="1"/>
  <c r="J12" i="13"/>
  <c r="I12" i="13"/>
  <c r="F12" i="13"/>
  <c r="M11" i="13"/>
  <c r="K11" i="13"/>
  <c r="J11" i="13"/>
  <c r="L11" i="13" s="1"/>
  <c r="I11" i="13"/>
  <c r="F11" i="13"/>
  <c r="M10" i="13"/>
  <c r="N10" i="13" s="1"/>
  <c r="K10" i="13"/>
  <c r="L10" i="13" s="1"/>
  <c r="J10" i="13"/>
  <c r="I10" i="13"/>
  <c r="F10" i="13"/>
  <c r="M9" i="13"/>
  <c r="L9" i="13"/>
  <c r="L21" i="13" s="1"/>
  <c r="M105" i="13" s="1"/>
  <c r="M110" i="13" s="1"/>
  <c r="K9" i="13"/>
  <c r="J9" i="13"/>
  <c r="F9" i="13"/>
  <c r="N9" i="13" s="1"/>
  <c r="N21" i="13" s="1"/>
  <c r="K105" i="13" s="1"/>
  <c r="K110" i="13" s="1"/>
  <c r="C156" i="12"/>
  <c r="C155" i="12"/>
  <c r="C154" i="12"/>
  <c r="C153" i="12"/>
  <c r="C152" i="12"/>
  <c r="C151" i="12"/>
  <c r="C150" i="12"/>
  <c r="C149" i="12"/>
  <c r="C148" i="12"/>
  <c r="C147" i="12"/>
  <c r="C146" i="12"/>
  <c r="C145" i="12"/>
  <c r="C144" i="12"/>
  <c r="C143" i="12"/>
  <c r="C142" i="12"/>
  <c r="L107" i="12"/>
  <c r="J107" i="12"/>
  <c r="H107" i="12"/>
  <c r="F107" i="12"/>
  <c r="C107" i="12"/>
  <c r="F106" i="12"/>
  <c r="C106" i="12"/>
  <c r="O99" i="12"/>
  <c r="K108" i="12" s="1"/>
  <c r="N98" i="12"/>
  <c r="O98" i="12" s="1"/>
  <c r="K98" i="12"/>
  <c r="E98" i="12"/>
  <c r="L98" i="12" s="1"/>
  <c r="N97" i="12"/>
  <c r="O97" i="12" s="1"/>
  <c r="L97" i="12"/>
  <c r="K97" i="12"/>
  <c r="E97" i="12"/>
  <c r="H97" i="12" s="1"/>
  <c r="N96" i="12"/>
  <c r="O96" i="12" s="1"/>
  <c r="K96" i="12"/>
  <c r="E96" i="12"/>
  <c r="L96" i="12" s="1"/>
  <c r="N95" i="12"/>
  <c r="O95" i="12" s="1"/>
  <c r="L95" i="12"/>
  <c r="K95" i="12"/>
  <c r="E95" i="12"/>
  <c r="H95" i="12" s="1"/>
  <c r="N94" i="12"/>
  <c r="O94" i="12" s="1"/>
  <c r="K94" i="12"/>
  <c r="L94" i="12" s="1"/>
  <c r="E94" i="12"/>
  <c r="H94" i="12" s="1"/>
  <c r="N93" i="12"/>
  <c r="O93" i="12" s="1"/>
  <c r="L93" i="12"/>
  <c r="K93" i="12"/>
  <c r="E93" i="12"/>
  <c r="H93" i="12" s="1"/>
  <c r="N92" i="12"/>
  <c r="O92" i="12" s="1"/>
  <c r="K92" i="12"/>
  <c r="L92" i="12" s="1"/>
  <c r="E92" i="12"/>
  <c r="H92" i="12" s="1"/>
  <c r="N91" i="12"/>
  <c r="O91" i="12" s="1"/>
  <c r="L91" i="12"/>
  <c r="K91" i="12"/>
  <c r="E91" i="12"/>
  <c r="H91" i="12" s="1"/>
  <c r="N90" i="12"/>
  <c r="O90" i="12" s="1"/>
  <c r="K90" i="12"/>
  <c r="L90" i="12" s="1"/>
  <c r="E90" i="12"/>
  <c r="H90" i="12" s="1"/>
  <c r="N89" i="12"/>
  <c r="O89" i="12" s="1"/>
  <c r="L89" i="12"/>
  <c r="K89" i="12"/>
  <c r="E89" i="12"/>
  <c r="H89" i="12" s="1"/>
  <c r="N88" i="12"/>
  <c r="O88" i="12" s="1"/>
  <c r="K88" i="12"/>
  <c r="L88" i="12" s="1"/>
  <c r="E88" i="12"/>
  <c r="H88" i="12" s="1"/>
  <c r="N87" i="12"/>
  <c r="O87" i="12" s="1"/>
  <c r="L87" i="12"/>
  <c r="K87" i="12"/>
  <c r="E87" i="12"/>
  <c r="H87" i="12" s="1"/>
  <c r="N86" i="12"/>
  <c r="O86" i="12" s="1"/>
  <c r="K86" i="12"/>
  <c r="L86" i="12" s="1"/>
  <c r="E86" i="12"/>
  <c r="H86" i="12" s="1"/>
  <c r="N85" i="12"/>
  <c r="O85" i="12" s="1"/>
  <c r="L85" i="12"/>
  <c r="K85" i="12"/>
  <c r="H85" i="12"/>
  <c r="O84" i="12"/>
  <c r="N84" i="12"/>
  <c r="L84" i="12"/>
  <c r="K84" i="12"/>
  <c r="H84" i="12"/>
  <c r="E84" i="12"/>
  <c r="O83" i="12"/>
  <c r="N83" i="12"/>
  <c r="K83" i="12"/>
  <c r="L83" i="12" s="1"/>
  <c r="H83" i="12"/>
  <c r="E83" i="12"/>
  <c r="O82" i="12"/>
  <c r="N82" i="12"/>
  <c r="K82" i="12"/>
  <c r="E82" i="12"/>
  <c r="E99" i="12" s="1"/>
  <c r="G108" i="12" s="1"/>
  <c r="E78" i="12"/>
  <c r="G109" i="12" s="1"/>
  <c r="M77" i="12"/>
  <c r="L77" i="12"/>
  <c r="K77" i="12"/>
  <c r="J77" i="12"/>
  <c r="I77" i="12"/>
  <c r="E77" i="12"/>
  <c r="H77" i="12" s="1"/>
  <c r="L76" i="12"/>
  <c r="M76" i="12" s="1"/>
  <c r="M78" i="12" s="1"/>
  <c r="K109" i="12" s="1"/>
  <c r="J76" i="12"/>
  <c r="K76" i="12" s="1"/>
  <c r="K78" i="12" s="1"/>
  <c r="M109" i="12" s="1"/>
  <c r="I76" i="12"/>
  <c r="H76" i="12"/>
  <c r="M71" i="12"/>
  <c r="N71" i="12" s="1"/>
  <c r="K71" i="12"/>
  <c r="L71" i="12" s="1"/>
  <c r="J71" i="12"/>
  <c r="F71" i="12"/>
  <c r="I71" i="12" s="1"/>
  <c r="N70" i="12"/>
  <c r="M70" i="12"/>
  <c r="L70" i="12"/>
  <c r="K70" i="12"/>
  <c r="J70" i="12"/>
  <c r="F70" i="12"/>
  <c r="I70" i="12" s="1"/>
  <c r="M69" i="12"/>
  <c r="N69" i="12" s="1"/>
  <c r="K69" i="12"/>
  <c r="L69" i="12" s="1"/>
  <c r="J69" i="12"/>
  <c r="I69" i="12"/>
  <c r="F69" i="12"/>
  <c r="M68" i="12"/>
  <c r="K68" i="12"/>
  <c r="J68" i="12"/>
  <c r="F68" i="12"/>
  <c r="N68" i="12" s="1"/>
  <c r="M67" i="12"/>
  <c r="N67" i="12" s="1"/>
  <c r="L67" i="12"/>
  <c r="K67" i="12"/>
  <c r="J67" i="12"/>
  <c r="I67" i="12"/>
  <c r="F67" i="12"/>
  <c r="M66" i="12"/>
  <c r="N66" i="12" s="1"/>
  <c r="K66" i="12"/>
  <c r="J66" i="12"/>
  <c r="F66" i="12"/>
  <c r="L66" i="12" s="1"/>
  <c r="N64" i="12"/>
  <c r="M64" i="12"/>
  <c r="K64" i="12"/>
  <c r="L64" i="12" s="1"/>
  <c r="J64" i="12"/>
  <c r="F64" i="12"/>
  <c r="I64" i="12" s="1"/>
  <c r="M63" i="12"/>
  <c r="K63" i="12"/>
  <c r="J63" i="12"/>
  <c r="I63" i="12"/>
  <c r="F63" i="12"/>
  <c r="N63" i="12" s="1"/>
  <c r="M62" i="12"/>
  <c r="N62" i="12" s="1"/>
  <c r="N72" i="12" s="1"/>
  <c r="K107" i="12" s="1"/>
  <c r="K62" i="12"/>
  <c r="L62" i="12" s="1"/>
  <c r="L72" i="12" s="1"/>
  <c r="M107" i="12" s="1"/>
  <c r="J62" i="12"/>
  <c r="I62" i="12"/>
  <c r="F62" i="12"/>
  <c r="F72" i="12" s="1"/>
  <c r="G107" i="12" s="1"/>
  <c r="F58" i="12"/>
  <c r="N57" i="12"/>
  <c r="J57" i="12"/>
  <c r="F57" i="12"/>
  <c r="L57" i="12" s="1"/>
  <c r="L56" i="12"/>
  <c r="J56" i="12"/>
  <c r="N56" i="12" s="1"/>
  <c r="N58" i="12" s="1"/>
  <c r="I56" i="12"/>
  <c r="F56" i="12"/>
  <c r="I51" i="12"/>
  <c r="I52" i="12" s="1"/>
  <c r="F51" i="12"/>
  <c r="F49" i="12"/>
  <c r="G106" i="12" s="1"/>
  <c r="M48" i="12"/>
  <c r="N48" i="12" s="1"/>
  <c r="K48" i="12"/>
  <c r="L48" i="12" s="1"/>
  <c r="J48" i="12"/>
  <c r="F48" i="12"/>
  <c r="I48" i="12" s="1"/>
  <c r="N47" i="12"/>
  <c r="M47" i="12"/>
  <c r="L47" i="12"/>
  <c r="K47" i="12"/>
  <c r="J47" i="12"/>
  <c r="F47" i="12"/>
  <c r="I47" i="12" s="1"/>
  <c r="M46" i="12"/>
  <c r="N46" i="12" s="1"/>
  <c r="K46" i="12"/>
  <c r="L46" i="12" s="1"/>
  <c r="J46" i="12"/>
  <c r="I46" i="12"/>
  <c r="F46" i="12"/>
  <c r="M45" i="12"/>
  <c r="K45" i="12"/>
  <c r="L45" i="12" s="1"/>
  <c r="L49" i="12" s="1"/>
  <c r="M106" i="12" s="1"/>
  <c r="J45" i="12"/>
  <c r="F45" i="12"/>
  <c r="N45" i="12" s="1"/>
  <c r="N49" i="12" s="1"/>
  <c r="K106" i="12" s="1"/>
  <c r="F39" i="12"/>
  <c r="I39" i="12" s="1"/>
  <c r="I38" i="12"/>
  <c r="F38" i="12"/>
  <c r="I37" i="12"/>
  <c r="F37" i="12"/>
  <c r="F36" i="12"/>
  <c r="I36" i="12" s="1"/>
  <c r="I40" i="12" s="1"/>
  <c r="F34" i="12"/>
  <c r="J33" i="12"/>
  <c r="N33" i="12" s="1"/>
  <c r="F33" i="12"/>
  <c r="I33" i="12" s="1"/>
  <c r="M32" i="12"/>
  <c r="N32" i="12" s="1"/>
  <c r="K32" i="12"/>
  <c r="L32" i="12" s="1"/>
  <c r="J32" i="12"/>
  <c r="I32" i="12"/>
  <c r="F32" i="12"/>
  <c r="M31" i="12"/>
  <c r="N31" i="12" s="1"/>
  <c r="L31" i="12"/>
  <c r="K31" i="12"/>
  <c r="J31" i="12"/>
  <c r="F31" i="12"/>
  <c r="I31" i="12" s="1"/>
  <c r="L30" i="12"/>
  <c r="J30" i="12"/>
  <c r="N30" i="12" s="1"/>
  <c r="I30" i="12"/>
  <c r="F30" i="12"/>
  <c r="M29" i="12"/>
  <c r="N29" i="12" s="1"/>
  <c r="L29" i="12"/>
  <c r="K29" i="12"/>
  <c r="J29" i="12"/>
  <c r="F29" i="12"/>
  <c r="I29" i="12" s="1"/>
  <c r="M28" i="12"/>
  <c r="N28" i="12" s="1"/>
  <c r="K28" i="12"/>
  <c r="L28" i="12" s="1"/>
  <c r="J28" i="12"/>
  <c r="F28" i="12"/>
  <c r="I28" i="12" s="1"/>
  <c r="N26" i="12"/>
  <c r="N34" i="12" s="1"/>
  <c r="J26" i="12"/>
  <c r="L26" i="12" s="1"/>
  <c r="F26" i="12"/>
  <c r="I26" i="12" s="1"/>
  <c r="F21" i="12"/>
  <c r="G105" i="12" s="1"/>
  <c r="G111" i="12" s="1"/>
  <c r="M20" i="12"/>
  <c r="N20" i="12" s="1"/>
  <c r="K20" i="12"/>
  <c r="L20" i="12" s="1"/>
  <c r="J20" i="12"/>
  <c r="I20" i="12"/>
  <c r="F20" i="12"/>
  <c r="M19" i="12"/>
  <c r="N19" i="12" s="1"/>
  <c r="K19" i="12"/>
  <c r="J19" i="12"/>
  <c r="F19" i="12"/>
  <c r="L19" i="12" s="1"/>
  <c r="M18" i="12"/>
  <c r="N18" i="12" s="1"/>
  <c r="K18" i="12"/>
  <c r="L18" i="12" s="1"/>
  <c r="J18" i="12"/>
  <c r="F18" i="12"/>
  <c r="I18" i="12" s="1"/>
  <c r="M17" i="12"/>
  <c r="K17" i="12"/>
  <c r="J17" i="12"/>
  <c r="F17" i="12"/>
  <c r="I17" i="12" s="1"/>
  <c r="M16" i="12"/>
  <c r="N16" i="12" s="1"/>
  <c r="K16" i="12"/>
  <c r="L16" i="12" s="1"/>
  <c r="J16" i="12"/>
  <c r="I16" i="12"/>
  <c r="M15" i="12"/>
  <c r="N15" i="12" s="1"/>
  <c r="K15" i="12"/>
  <c r="L15" i="12" s="1"/>
  <c r="J15" i="12"/>
  <c r="I15" i="12"/>
  <c r="M14" i="12"/>
  <c r="N14" i="12" s="1"/>
  <c r="K14" i="12"/>
  <c r="L14" i="12" s="1"/>
  <c r="J14" i="12"/>
  <c r="I14" i="12"/>
  <c r="M13" i="12"/>
  <c r="N13" i="12" s="1"/>
  <c r="K13" i="12"/>
  <c r="L13" i="12" s="1"/>
  <c r="J13" i="12"/>
  <c r="I13" i="12"/>
  <c r="M12" i="12"/>
  <c r="N12" i="12" s="1"/>
  <c r="K12" i="12"/>
  <c r="L12" i="12" s="1"/>
  <c r="J12" i="12"/>
  <c r="I12" i="12"/>
  <c r="F12" i="12"/>
  <c r="M11" i="12"/>
  <c r="K11" i="12"/>
  <c r="L11" i="12" s="1"/>
  <c r="J11" i="12"/>
  <c r="F11" i="12"/>
  <c r="I11" i="12" s="1"/>
  <c r="M10" i="12"/>
  <c r="N10" i="12" s="1"/>
  <c r="K10" i="12"/>
  <c r="L10" i="12" s="1"/>
  <c r="J10" i="12"/>
  <c r="I10" i="12"/>
  <c r="F10" i="12"/>
  <c r="M9" i="12"/>
  <c r="N9" i="12" s="1"/>
  <c r="N21" i="12" s="1"/>
  <c r="K105" i="12" s="1"/>
  <c r="K110" i="12" s="1"/>
  <c r="K111" i="12" s="1"/>
  <c r="L9" i="12"/>
  <c r="L21" i="12" s="1"/>
  <c r="M105" i="12" s="1"/>
  <c r="M110" i="12" s="1"/>
  <c r="K9" i="12"/>
  <c r="J9" i="12"/>
  <c r="F9" i="12"/>
  <c r="I9" i="12" s="1"/>
  <c r="I21" i="12" s="1"/>
  <c r="I105" i="12" s="1"/>
  <c r="I110" i="12" s="1"/>
  <c r="H113" i="7"/>
  <c r="J112" i="7"/>
  <c r="I112" i="7"/>
  <c r="H112" i="7"/>
  <c r="K111" i="7"/>
  <c r="K112" i="7" s="1"/>
  <c r="J111" i="7"/>
  <c r="I111" i="7"/>
  <c r="H111" i="7"/>
  <c r="L137" i="7"/>
  <c r="L129" i="7"/>
  <c r="L121" i="7"/>
  <c r="L136" i="7"/>
  <c r="L128" i="7"/>
  <c r="L120" i="7"/>
  <c r="L135" i="7"/>
  <c r="L127" i="7"/>
  <c r="L119" i="7"/>
  <c r="L134" i="7"/>
  <c r="L126" i="7"/>
  <c r="L118" i="7"/>
  <c r="L133" i="7"/>
  <c r="L125" i="7"/>
  <c r="L117" i="7"/>
  <c r="H100" i="7"/>
  <c r="K98" i="7"/>
  <c r="K99" i="7" s="1"/>
  <c r="J98" i="7"/>
  <c r="J99" i="7" s="1"/>
  <c r="I98" i="7"/>
  <c r="I99" i="7" s="1"/>
  <c r="H98" i="7"/>
  <c r="H99" i="7" s="1"/>
  <c r="C137" i="7"/>
  <c r="C136" i="7"/>
  <c r="C135" i="7"/>
  <c r="C129" i="7"/>
  <c r="C128" i="7"/>
  <c r="C127" i="7"/>
  <c r="C121" i="7"/>
  <c r="C120" i="7"/>
  <c r="C119" i="7"/>
  <c r="F48" i="8"/>
  <c r="F47" i="8"/>
  <c r="F46" i="8"/>
  <c r="F45" i="8"/>
  <c r="H19" i="16" l="1"/>
  <c r="H17" i="14"/>
  <c r="H18" i="14" s="1"/>
  <c r="H19" i="14" s="1"/>
  <c r="I122" i="16" a="1"/>
  <c r="I122" i="16" s="1"/>
  <c r="I138" i="16" a="1"/>
  <c r="I138" i="16" s="1"/>
  <c r="I130" i="16" a="1"/>
  <c r="I130" i="16" s="1"/>
  <c r="I49" i="15"/>
  <c r="I106" i="15" s="1"/>
  <c r="N58" i="15"/>
  <c r="N34" i="15"/>
  <c r="N33" i="15"/>
  <c r="L17" i="15"/>
  <c r="F21" i="15"/>
  <c r="G105" i="15" s="1"/>
  <c r="G111" i="15" s="1"/>
  <c r="K111" i="15" s="1"/>
  <c r="L63" i="15"/>
  <c r="N11" i="15"/>
  <c r="I47" i="15"/>
  <c r="I70" i="15"/>
  <c r="I72" i="15" s="1"/>
  <c r="I107" i="15" s="1"/>
  <c r="H77" i="15"/>
  <c r="H78" i="15" s="1"/>
  <c r="I109" i="15" s="1"/>
  <c r="I26" i="15"/>
  <c r="I29" i="15"/>
  <c r="I31" i="15"/>
  <c r="I57" i="15"/>
  <c r="I58" i="15" s="1"/>
  <c r="F72" i="15"/>
  <c r="G107" i="15" s="1"/>
  <c r="I9" i="15"/>
  <c r="I21" i="15" s="1"/>
  <c r="I105" i="15" s="1"/>
  <c r="I110" i="15" s="1"/>
  <c r="I111" i="15" s="1"/>
  <c r="L26" i="15"/>
  <c r="L34" i="15" s="1"/>
  <c r="L57" i="15"/>
  <c r="L58" i="15" s="1"/>
  <c r="L9" i="15"/>
  <c r="L21" i="15" s="1"/>
  <c r="M105" i="15" s="1"/>
  <c r="M110" i="15" s="1"/>
  <c r="M111" i="15" s="1"/>
  <c r="L31" i="15"/>
  <c r="M77" i="15"/>
  <c r="L29" i="15"/>
  <c r="N57" i="15"/>
  <c r="I122" i="14" a="1"/>
  <c r="I122" i="14" s="1"/>
  <c r="I130" i="14" a="1"/>
  <c r="I130" i="14" s="1"/>
  <c r="I58" i="13"/>
  <c r="N34" i="13"/>
  <c r="I40" i="13"/>
  <c r="H78" i="13"/>
  <c r="I109" i="13" s="1"/>
  <c r="I19" i="13"/>
  <c r="I66" i="13"/>
  <c r="I72" i="13" s="1"/>
  <c r="I107" i="13" s="1"/>
  <c r="I45" i="13"/>
  <c r="I49" i="13" s="1"/>
  <c r="I106" i="13" s="1"/>
  <c r="I68" i="13"/>
  <c r="N11" i="13"/>
  <c r="L17" i="13"/>
  <c r="L63" i="13"/>
  <c r="L19" i="13"/>
  <c r="N63" i="13"/>
  <c r="L66" i="13"/>
  <c r="F21" i="13"/>
  <c r="G105" i="13" s="1"/>
  <c r="G111" i="13" s="1"/>
  <c r="M111" i="13" s="1"/>
  <c r="N17" i="13"/>
  <c r="F72" i="13"/>
  <c r="G107" i="13" s="1"/>
  <c r="I9" i="13"/>
  <c r="I21" i="13" s="1"/>
  <c r="I105" i="13" s="1"/>
  <c r="I110" i="13" s="1"/>
  <c r="I111" i="13" s="1"/>
  <c r="I57" i="13"/>
  <c r="L57" i="13"/>
  <c r="L58" i="13" s="1"/>
  <c r="L33" i="13"/>
  <c r="I111" i="12"/>
  <c r="M111" i="12"/>
  <c r="I34" i="12"/>
  <c r="L58" i="12"/>
  <c r="L34" i="12"/>
  <c r="H78" i="12"/>
  <c r="I109" i="12" s="1"/>
  <c r="I19" i="12"/>
  <c r="I66" i="12"/>
  <c r="L33" i="12"/>
  <c r="L63" i="12"/>
  <c r="I45" i="12"/>
  <c r="I49" i="12" s="1"/>
  <c r="I106" i="12" s="1"/>
  <c r="I68" i="12"/>
  <c r="I72" i="12" s="1"/>
  <c r="I107" i="12" s="1"/>
  <c r="H96" i="12"/>
  <c r="H98" i="12"/>
  <c r="N17" i="12"/>
  <c r="H82" i="12"/>
  <c r="H99" i="12" s="1"/>
  <c r="I108" i="12" s="1"/>
  <c r="N11" i="12"/>
  <c r="L17" i="12"/>
  <c r="L68" i="12"/>
  <c r="L82" i="12"/>
  <c r="L99" i="12" s="1"/>
  <c r="M108" i="12" s="1"/>
  <c r="I57" i="12"/>
  <c r="I58" i="12" s="1"/>
  <c r="L138" i="7"/>
  <c r="L122" i="7"/>
  <c r="L130" i="7"/>
  <c r="K138" i="7"/>
  <c r="K130" i="7"/>
  <c r="K122" i="7"/>
  <c r="H73" i="7"/>
  <c r="K71" i="7"/>
  <c r="K72" i="7" s="1"/>
  <c r="J71" i="7"/>
  <c r="J72" i="7" s="1"/>
  <c r="I71" i="7"/>
  <c r="I72" i="7" s="1"/>
  <c r="H71" i="7"/>
  <c r="H72" i="7" s="1"/>
  <c r="C106" i="8"/>
  <c r="J26" i="8"/>
  <c r="J30" i="8"/>
  <c r="J33" i="8"/>
  <c r="I34" i="15" l="1"/>
  <c r="K111" i="13"/>
  <c r="I138" i="7" a="1"/>
  <c r="I138" i="7" s="1"/>
  <c r="I122" i="7" a="1"/>
  <c r="I122" i="7" s="1"/>
  <c r="I130" i="7" a="1"/>
  <c r="I130" i="7" s="1"/>
  <c r="I48" i="8"/>
  <c r="I47" i="8"/>
  <c r="I46" i="8"/>
  <c r="F49" i="8"/>
  <c r="M48" i="8"/>
  <c r="K48" i="8"/>
  <c r="J48" i="8"/>
  <c r="M47" i="8"/>
  <c r="K47" i="8"/>
  <c r="J47" i="8"/>
  <c r="M46" i="8"/>
  <c r="K46" i="8"/>
  <c r="J46" i="8"/>
  <c r="M45" i="8"/>
  <c r="K45" i="8"/>
  <c r="J45" i="8"/>
  <c r="M32" i="8"/>
  <c r="K32" i="8"/>
  <c r="J32" i="8"/>
  <c r="M31" i="8"/>
  <c r="K31" i="8"/>
  <c r="J31" i="8"/>
  <c r="M29" i="8"/>
  <c r="K29" i="8"/>
  <c r="J29" i="8"/>
  <c r="M28" i="8"/>
  <c r="K28" i="8"/>
  <c r="J28" i="8"/>
  <c r="F39" i="8"/>
  <c r="I39" i="8" s="1"/>
  <c r="F38" i="8"/>
  <c r="I38" i="8" s="1"/>
  <c r="F37" i="8"/>
  <c r="I37" i="8" s="1"/>
  <c r="F36" i="8"/>
  <c r="I36" i="8" s="1"/>
  <c r="F33" i="8"/>
  <c r="L33" i="8" s="1"/>
  <c r="F32" i="8"/>
  <c r="I32" i="8" s="1"/>
  <c r="F31" i="8"/>
  <c r="F30" i="8"/>
  <c r="L30" i="8" s="1"/>
  <c r="F29" i="8"/>
  <c r="I29" i="8" s="1"/>
  <c r="F28" i="8"/>
  <c r="F34" i="8" l="1"/>
  <c r="I45" i="8"/>
  <c r="I49" i="8" s="1"/>
  <c r="N33" i="8"/>
  <c r="N30" i="8"/>
  <c r="I40" i="8"/>
  <c r="L45" i="8"/>
  <c r="N45" i="8"/>
  <c r="L46" i="8"/>
  <c r="L29" i="8"/>
  <c r="N46" i="8"/>
  <c r="L47" i="8"/>
  <c r="L48" i="8"/>
  <c r="N48" i="8"/>
  <c r="N47" i="8"/>
  <c r="N28" i="8"/>
  <c r="N29" i="8"/>
  <c r="N31" i="8"/>
  <c r="L28" i="8"/>
  <c r="L32" i="8"/>
  <c r="L31" i="8"/>
  <c r="N32" i="8"/>
  <c r="N49" i="8" l="1"/>
  <c r="L49" i="8"/>
  <c r="C144" i="8" l="1"/>
  <c r="C143" i="8"/>
  <c r="C142" i="8"/>
  <c r="C151" i="8" l="1"/>
  <c r="C150" i="8"/>
  <c r="C149" i="8"/>
  <c r="C147" i="8"/>
  <c r="C145" i="8"/>
  <c r="C156" i="8"/>
  <c r="C155" i="8"/>
  <c r="C154" i="8"/>
  <c r="C152" i="8"/>
  <c r="C153" i="8"/>
  <c r="C148" i="8"/>
  <c r="C146" i="8"/>
  <c r="I30" i="8" l="1"/>
  <c r="I28" i="8"/>
  <c r="F26" i="8"/>
  <c r="E77" i="8"/>
  <c r="E98" i="8"/>
  <c r="E97" i="8"/>
  <c r="E96" i="8"/>
  <c r="E95" i="8"/>
  <c r="E94" i="8"/>
  <c r="E93" i="8"/>
  <c r="E92" i="8"/>
  <c r="E91" i="8"/>
  <c r="E90" i="8"/>
  <c r="E89" i="8"/>
  <c r="E88" i="8"/>
  <c r="E87" i="8"/>
  <c r="E86" i="8"/>
  <c r="E84" i="8"/>
  <c r="E83" i="8"/>
  <c r="E82" i="8"/>
  <c r="F20" i="8"/>
  <c r="F19" i="8"/>
  <c r="F18" i="8"/>
  <c r="F17" i="8"/>
  <c r="F12" i="8"/>
  <c r="F11" i="8"/>
  <c r="F10" i="8"/>
  <c r="F9" i="8"/>
  <c r="F106" i="8"/>
  <c r="G106" i="8" l="1"/>
  <c r="L26" i="8"/>
  <c r="L34" i="8" s="1"/>
  <c r="M106" i="8" s="1"/>
  <c r="N26" i="8"/>
  <c r="N34" i="8" s="1"/>
  <c r="K106" i="8" s="1"/>
  <c r="L107" i="8"/>
  <c r="J107" i="8"/>
  <c r="H107" i="8"/>
  <c r="F107" i="8"/>
  <c r="C107" i="8"/>
  <c r="J77" i="8"/>
  <c r="J76" i="8"/>
  <c r="L77" i="8"/>
  <c r="L76" i="8"/>
  <c r="I77" i="8"/>
  <c r="I76" i="8"/>
  <c r="K98" i="8"/>
  <c r="K97" i="8"/>
  <c r="K96" i="8"/>
  <c r="K95" i="8"/>
  <c r="K94" i="8"/>
  <c r="K93" i="8"/>
  <c r="K92" i="8"/>
  <c r="K91" i="8"/>
  <c r="K90" i="8"/>
  <c r="K89" i="8"/>
  <c r="K88" i="8"/>
  <c r="K87" i="8"/>
  <c r="K86" i="8"/>
  <c r="K85" i="8"/>
  <c r="K84" i="8"/>
  <c r="K83" i="8"/>
  <c r="K82" i="8"/>
  <c r="N98" i="8"/>
  <c r="N97" i="8"/>
  <c r="N96" i="8"/>
  <c r="N95" i="8"/>
  <c r="N94" i="8"/>
  <c r="N93" i="8"/>
  <c r="N92" i="8"/>
  <c r="N91" i="8"/>
  <c r="N90" i="8"/>
  <c r="N89" i="8"/>
  <c r="N88" i="8"/>
  <c r="N87" i="8"/>
  <c r="N86" i="8"/>
  <c r="N85" i="8"/>
  <c r="N84" i="8"/>
  <c r="N83" i="8"/>
  <c r="N82" i="8"/>
  <c r="K71" i="8"/>
  <c r="K70" i="8"/>
  <c r="K64" i="8"/>
  <c r="K69" i="8"/>
  <c r="K68" i="8"/>
  <c r="K63" i="8"/>
  <c r="K67" i="8"/>
  <c r="K66" i="8"/>
  <c r="K62" i="8"/>
  <c r="M71" i="8"/>
  <c r="M70" i="8"/>
  <c r="M64" i="8"/>
  <c r="M69" i="8"/>
  <c r="M68" i="8"/>
  <c r="M63" i="8"/>
  <c r="M67" i="8"/>
  <c r="M66" i="8"/>
  <c r="M62" i="8"/>
  <c r="F71" i="8"/>
  <c r="F70" i="8"/>
  <c r="F64" i="8"/>
  <c r="F69" i="8"/>
  <c r="F68" i="8"/>
  <c r="F63" i="8"/>
  <c r="F67" i="8"/>
  <c r="F66" i="8"/>
  <c r="F62" i="8"/>
  <c r="F57" i="8"/>
  <c r="F56" i="8"/>
  <c r="F51" i="8"/>
  <c r="K20" i="8"/>
  <c r="K19" i="8"/>
  <c r="K18" i="8"/>
  <c r="K17" i="8"/>
  <c r="K16" i="8"/>
  <c r="K15" i="8"/>
  <c r="K14" i="8"/>
  <c r="K13" i="8"/>
  <c r="K12" i="8"/>
  <c r="K11" i="8"/>
  <c r="K10" i="8"/>
  <c r="K9" i="8"/>
  <c r="M20" i="8"/>
  <c r="M19" i="8"/>
  <c r="M18" i="8"/>
  <c r="M17" i="8"/>
  <c r="M16" i="8"/>
  <c r="M15" i="8"/>
  <c r="M14" i="8"/>
  <c r="M13" i="8"/>
  <c r="M12" i="8"/>
  <c r="M11" i="8"/>
  <c r="M10" i="8"/>
  <c r="M9" i="8"/>
  <c r="O82" i="8" l="1"/>
  <c r="L82" i="8"/>
  <c r="O92" i="8"/>
  <c r="L92" i="8"/>
  <c r="F58" i="8"/>
  <c r="H92" i="8"/>
  <c r="J15" i="8"/>
  <c r="N15" i="8" s="1"/>
  <c r="I20" i="8"/>
  <c r="I19" i="8"/>
  <c r="I18" i="8"/>
  <c r="I17" i="8"/>
  <c r="I12" i="8"/>
  <c r="I10" i="8"/>
  <c r="E78" i="8"/>
  <c r="G109" i="8" s="1"/>
  <c r="M77" i="8"/>
  <c r="H77" i="8"/>
  <c r="K76" i="8"/>
  <c r="H76" i="8"/>
  <c r="E99" i="8"/>
  <c r="G108" i="8" s="1"/>
  <c r="L98" i="8"/>
  <c r="O98" i="8"/>
  <c r="H98" i="8"/>
  <c r="L97" i="8"/>
  <c r="O97" i="8"/>
  <c r="H97" i="8"/>
  <c r="L96" i="8"/>
  <c r="O96" i="8"/>
  <c r="H96" i="8"/>
  <c r="L95" i="8"/>
  <c r="O95" i="8"/>
  <c r="H95" i="8"/>
  <c r="L94" i="8"/>
  <c r="O94" i="8"/>
  <c r="H94" i="8"/>
  <c r="L93" i="8"/>
  <c r="O93" i="8"/>
  <c r="H93" i="8"/>
  <c r="L91" i="8"/>
  <c r="O91" i="8"/>
  <c r="H91" i="8"/>
  <c r="L90" i="8"/>
  <c r="O90" i="8"/>
  <c r="H90" i="8"/>
  <c r="L89" i="8"/>
  <c r="O89" i="8"/>
  <c r="H89" i="8"/>
  <c r="L88" i="8"/>
  <c r="O88" i="8"/>
  <c r="H88" i="8"/>
  <c r="L87" i="8"/>
  <c r="O87" i="8"/>
  <c r="H87" i="8"/>
  <c r="L86" i="8"/>
  <c r="O86" i="8"/>
  <c r="H86" i="8"/>
  <c r="L85" i="8"/>
  <c r="O85" i="8"/>
  <c r="H85" i="8"/>
  <c r="L84" i="8"/>
  <c r="O84" i="8"/>
  <c r="H84" i="8"/>
  <c r="L83" i="8"/>
  <c r="O83" i="8"/>
  <c r="H83" i="8"/>
  <c r="H82" i="8"/>
  <c r="F72" i="8"/>
  <c r="J71" i="8"/>
  <c r="L71" i="8" s="1"/>
  <c r="I71" i="8"/>
  <c r="J70" i="8"/>
  <c r="L70" i="8" s="1"/>
  <c r="I70" i="8"/>
  <c r="J64" i="8"/>
  <c r="L64" i="8" s="1"/>
  <c r="I64" i="8"/>
  <c r="J69" i="8"/>
  <c r="L69" i="8" s="1"/>
  <c r="I69" i="8"/>
  <c r="J68" i="8"/>
  <c r="L68" i="8" s="1"/>
  <c r="I68" i="8"/>
  <c r="J63" i="8"/>
  <c r="L63" i="8" s="1"/>
  <c r="I63" i="8"/>
  <c r="J67" i="8"/>
  <c r="L67" i="8" s="1"/>
  <c r="I67" i="8"/>
  <c r="J66" i="8"/>
  <c r="L66" i="8" s="1"/>
  <c r="I66" i="8"/>
  <c r="J62" i="8"/>
  <c r="L62" i="8" s="1"/>
  <c r="I62" i="8"/>
  <c r="J57" i="8"/>
  <c r="L57" i="8" s="1"/>
  <c r="I57" i="8"/>
  <c r="J56" i="8"/>
  <c r="I51" i="8"/>
  <c r="I52" i="8" s="1"/>
  <c r="I33" i="8"/>
  <c r="I31" i="8"/>
  <c r="I26" i="8"/>
  <c r="J20" i="8"/>
  <c r="L20" i="8" s="1"/>
  <c r="J19" i="8"/>
  <c r="J18" i="8"/>
  <c r="J17" i="8"/>
  <c r="J16" i="8"/>
  <c r="L16" i="8" s="1"/>
  <c r="I16" i="8"/>
  <c r="I15" i="8"/>
  <c r="J14" i="8"/>
  <c r="L14" i="8" s="1"/>
  <c r="I14" i="8"/>
  <c r="J13" i="8"/>
  <c r="L13" i="8" s="1"/>
  <c r="I13" i="8"/>
  <c r="J12" i="8"/>
  <c r="J11" i="8"/>
  <c r="I11" i="8"/>
  <c r="J10" i="8"/>
  <c r="J9" i="8"/>
  <c r="H86" i="7"/>
  <c r="K84" i="7"/>
  <c r="K85" i="7" s="1"/>
  <c r="J84" i="7"/>
  <c r="J85" i="7" s="1"/>
  <c r="I84" i="7"/>
  <c r="I85" i="7" s="1"/>
  <c r="H84" i="7"/>
  <c r="H85" i="7" s="1"/>
  <c r="H60" i="7"/>
  <c r="K58" i="7"/>
  <c r="K59" i="7" s="1"/>
  <c r="J58" i="7"/>
  <c r="J59" i="7" s="1"/>
  <c r="I58" i="7"/>
  <c r="I59" i="7" s="1"/>
  <c r="H58" i="7"/>
  <c r="H59" i="7" s="1"/>
  <c r="H47" i="7"/>
  <c r="K45" i="7"/>
  <c r="K46" i="7" s="1"/>
  <c r="J45" i="7"/>
  <c r="J46" i="7" s="1"/>
  <c r="I45" i="7"/>
  <c r="I46" i="7" s="1"/>
  <c r="H45" i="7"/>
  <c r="H46" i="7" s="1"/>
  <c r="I15" i="7"/>
  <c r="I14" i="7"/>
  <c r="I12" i="7"/>
  <c r="H15" i="7"/>
  <c r="H13" i="7"/>
  <c r="H12" i="7"/>
  <c r="H34" i="7"/>
  <c r="K32" i="7"/>
  <c r="K33" i="7" s="1"/>
  <c r="J32" i="7"/>
  <c r="J33" i="7" s="1"/>
  <c r="I32" i="7"/>
  <c r="I33" i="7" s="1"/>
  <c r="H32" i="7"/>
  <c r="H33" i="7" s="1"/>
  <c r="K17" i="7"/>
  <c r="K18" i="7" s="1"/>
  <c r="J17" i="7"/>
  <c r="J18" i="7" s="1"/>
  <c r="H17" i="7" l="1"/>
  <c r="H18" i="7" s="1"/>
  <c r="L17" i="8"/>
  <c r="H78" i="8"/>
  <c r="I109" i="8" s="1"/>
  <c r="G107" i="8"/>
  <c r="L12" i="8"/>
  <c r="L18" i="8"/>
  <c r="F21" i="8"/>
  <c r="G105" i="8" s="1"/>
  <c r="I72" i="8"/>
  <c r="I34" i="8"/>
  <c r="I106" i="8" s="1"/>
  <c r="L72" i="8"/>
  <c r="I9" i="8"/>
  <c r="I21" i="8" s="1"/>
  <c r="I105" i="8" s="1"/>
  <c r="L19" i="8"/>
  <c r="N64" i="8"/>
  <c r="H99" i="8"/>
  <c r="I108" i="8" s="1"/>
  <c r="L10" i="8"/>
  <c r="L99" i="8"/>
  <c r="M108" i="8" s="1"/>
  <c r="L15" i="8"/>
  <c r="L9" i="8"/>
  <c r="L11" i="8"/>
  <c r="L56" i="8"/>
  <c r="L58" i="8" s="1"/>
  <c r="N62" i="8"/>
  <c r="O99" i="8"/>
  <c r="K108" i="8" s="1"/>
  <c r="N57" i="8"/>
  <c r="N67" i="8"/>
  <c r="N68" i="8"/>
  <c r="N71" i="8"/>
  <c r="I56" i="8"/>
  <c r="I58" i="8" s="1"/>
  <c r="N56" i="8"/>
  <c r="N66" i="8"/>
  <c r="N63" i="8"/>
  <c r="N69" i="8"/>
  <c r="N70" i="8"/>
  <c r="M76" i="8"/>
  <c r="M78" i="8" s="1"/>
  <c r="K109" i="8" s="1"/>
  <c r="N9" i="8"/>
  <c r="N10" i="8"/>
  <c r="N11" i="8"/>
  <c r="N12" i="8"/>
  <c r="N13" i="8"/>
  <c r="N14" i="8"/>
  <c r="N16" i="8"/>
  <c r="N17" i="8"/>
  <c r="N18" i="8"/>
  <c r="N19" i="8"/>
  <c r="N20" i="8"/>
  <c r="K77" i="8"/>
  <c r="K78" i="8" s="1"/>
  <c r="M109" i="8" s="1"/>
  <c r="I17" i="7"/>
  <c r="I18" i="7" s="1"/>
  <c r="H19" i="7" l="1"/>
  <c r="M107" i="8"/>
  <c r="G111" i="8"/>
  <c r="I107" i="8"/>
  <c r="I110" i="8" s="1"/>
  <c r="N58" i="8"/>
  <c r="L21" i="8"/>
  <c r="N72" i="8"/>
  <c r="N21" i="8"/>
  <c r="K105" i="8" s="1"/>
  <c r="I111" i="8" l="1"/>
  <c r="K107" i="8"/>
  <c r="K110" i="8" s="1"/>
  <c r="K111" i="8" s="1"/>
  <c r="M105" i="8"/>
  <c r="M110" i="8" s="1"/>
  <c r="M111" i="8"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<sst xmlns="http://schemas.openxmlformats.org/spreadsheetml/2006/main" count="2661" uniqueCount="541">
  <si>
    <t>シリーズ名</t>
    <rPh sb="4" eb="5">
      <t>メイ</t>
    </rPh>
    <phoneticPr fontId="2"/>
  </si>
  <si>
    <t>断面2
（熱橋部）</t>
    <rPh sb="0" eb="2">
      <t>ダンメン</t>
    </rPh>
    <rPh sb="5" eb="6">
      <t>ネツ</t>
    </rPh>
    <rPh sb="6" eb="7">
      <t>ハシ</t>
    </rPh>
    <rPh sb="7" eb="8">
      <t>ブ</t>
    </rPh>
    <phoneticPr fontId="2"/>
  </si>
  <si>
    <t>面積比率</t>
    <rPh sb="0" eb="2">
      <t>メンセキ</t>
    </rPh>
    <rPh sb="2" eb="4">
      <t>ヒリツ</t>
    </rPh>
    <phoneticPr fontId="2"/>
  </si>
  <si>
    <t>材料名・表面熱抵抗</t>
    <rPh sb="0" eb="2">
      <t>ザイリョウ</t>
    </rPh>
    <rPh sb="2" eb="3">
      <t>メイ</t>
    </rPh>
    <rPh sb="4" eb="6">
      <t>ヒョウメン</t>
    </rPh>
    <rPh sb="6" eb="7">
      <t>ネツ</t>
    </rPh>
    <rPh sb="7" eb="9">
      <t>テイコウ</t>
    </rPh>
    <phoneticPr fontId="2"/>
  </si>
  <si>
    <t>厚さd
[mm]</t>
    <rPh sb="0" eb="1">
      <t>アツ</t>
    </rPh>
    <phoneticPr fontId="2"/>
  </si>
  <si>
    <t>熱伝導率λ
[W/mK]</t>
    <rPh sb="0" eb="1">
      <t>ネツ</t>
    </rPh>
    <rPh sb="1" eb="4">
      <t>デンドウリツ</t>
    </rPh>
    <phoneticPr fontId="2"/>
  </si>
  <si>
    <t>外気側表面熱伝達抵抗（通気層）</t>
    <rPh sb="0" eb="2">
      <t>ガイキ</t>
    </rPh>
    <rPh sb="2" eb="3">
      <t>ガワ</t>
    </rPh>
    <rPh sb="3" eb="5">
      <t>ヒョウメン</t>
    </rPh>
    <rPh sb="5" eb="8">
      <t>ネツデンタツ</t>
    </rPh>
    <rPh sb="8" eb="10">
      <t>テイコウ</t>
    </rPh>
    <rPh sb="11" eb="13">
      <t>ツウキ</t>
    </rPh>
    <rPh sb="13" eb="14">
      <t>ソウ</t>
    </rPh>
    <phoneticPr fontId="2"/>
  </si>
  <si>
    <t>合板</t>
    <rPh sb="0" eb="2">
      <t>ゴウバン</t>
    </rPh>
    <phoneticPr fontId="2"/>
  </si>
  <si>
    <t>住宅用グラスウール16K</t>
    <rPh sb="0" eb="3">
      <t>ジュウタクヨウ</t>
    </rPh>
    <phoneticPr fontId="2"/>
  </si>
  <si>
    <t>天然木材</t>
    <rPh sb="0" eb="2">
      <t>テンネン</t>
    </rPh>
    <rPh sb="2" eb="4">
      <t>モクザイ</t>
    </rPh>
    <phoneticPr fontId="2"/>
  </si>
  <si>
    <t>室内側表面熱伝達抵抗</t>
    <rPh sb="0" eb="2">
      <t>シツナイ</t>
    </rPh>
    <rPh sb="2" eb="3">
      <t>ガワ</t>
    </rPh>
    <rPh sb="3" eb="5">
      <t>ヒョウメン</t>
    </rPh>
    <rPh sb="5" eb="8">
      <t>ネツデンタツ</t>
    </rPh>
    <rPh sb="8" eb="10">
      <t>テイコウ</t>
    </rPh>
    <phoneticPr fontId="2"/>
  </si>
  <si>
    <t>熱抵抗小計（ΣR）</t>
    <rPh sb="0" eb="1">
      <t>ネツ</t>
    </rPh>
    <rPh sb="1" eb="3">
      <t>テイコウ</t>
    </rPh>
    <rPh sb="3" eb="5">
      <t>ショウケイ</t>
    </rPh>
    <phoneticPr fontId="2"/>
  </si>
  <si>
    <t>熱貫流率（1/ΣR）</t>
    <rPh sb="0" eb="1">
      <t>ネツ</t>
    </rPh>
    <rPh sb="1" eb="3">
      <t>カンリュウ</t>
    </rPh>
    <rPh sb="3" eb="4">
      <t>リツ</t>
    </rPh>
    <phoneticPr fontId="2"/>
  </si>
  <si>
    <t>断面1</t>
    <rPh sb="0" eb="2">
      <t>ダンメン</t>
    </rPh>
    <phoneticPr fontId="2"/>
  </si>
  <si>
    <t>断面2</t>
    <rPh sb="0" eb="2">
      <t>ダンメン</t>
    </rPh>
    <phoneticPr fontId="2"/>
  </si>
  <si>
    <t>断面3</t>
    <rPh sb="0" eb="2">
      <t>ダンメン</t>
    </rPh>
    <phoneticPr fontId="2"/>
  </si>
  <si>
    <t>断面4</t>
    <rPh sb="0" eb="2">
      <t>ダンメン</t>
    </rPh>
    <phoneticPr fontId="2"/>
  </si>
  <si>
    <t>◆外壁</t>
    <rPh sb="1" eb="3">
      <t>ガイヘキ</t>
    </rPh>
    <phoneticPr fontId="2"/>
  </si>
  <si>
    <t>◆記入例（外壁）</t>
    <rPh sb="1" eb="3">
      <t>キニュウ</t>
    </rPh>
    <rPh sb="3" eb="4">
      <t>レイ</t>
    </rPh>
    <rPh sb="5" eb="7">
      <t>ガイヘキ</t>
    </rPh>
    <phoneticPr fontId="2"/>
  </si>
  <si>
    <t>熱抵抗R</t>
    <rPh sb="0" eb="1">
      <t>ネツ</t>
    </rPh>
    <rPh sb="1" eb="3">
      <t>テイコウ</t>
    </rPh>
    <phoneticPr fontId="2"/>
  </si>
  <si>
    <t>適用部位：</t>
    <rPh sb="0" eb="2">
      <t>テキヨウ</t>
    </rPh>
    <rPh sb="2" eb="4">
      <t>ブイ</t>
    </rPh>
    <phoneticPr fontId="2"/>
  </si>
  <si>
    <t>部位</t>
    <rPh sb="0" eb="2">
      <t>ブイ</t>
    </rPh>
    <phoneticPr fontId="2"/>
  </si>
  <si>
    <t>方位</t>
    <rPh sb="0" eb="2">
      <t>ホウイ</t>
    </rPh>
    <phoneticPr fontId="2"/>
  </si>
  <si>
    <t>温度差
係数H</t>
    <rPh sb="0" eb="3">
      <t>オンドサ</t>
    </rPh>
    <rPh sb="4" eb="6">
      <t>ケイスウ</t>
    </rPh>
    <phoneticPr fontId="2"/>
  </si>
  <si>
    <t>AUH</t>
    <phoneticPr fontId="2"/>
  </si>
  <si>
    <t>外壁（1階）</t>
    <rPh sb="0" eb="2">
      <t>ガイヘキ</t>
    </rPh>
    <rPh sb="4" eb="5">
      <t>カイ</t>
    </rPh>
    <phoneticPr fontId="2"/>
  </si>
  <si>
    <t>南</t>
    <rPh sb="0" eb="1">
      <t>ミナミ</t>
    </rPh>
    <phoneticPr fontId="2"/>
  </si>
  <si>
    <t>西</t>
    <rPh sb="0" eb="1">
      <t>ニシ</t>
    </rPh>
    <phoneticPr fontId="2"/>
  </si>
  <si>
    <t>北</t>
    <rPh sb="0" eb="1">
      <t>キタ</t>
    </rPh>
    <phoneticPr fontId="2"/>
  </si>
  <si>
    <t>東</t>
    <rPh sb="0" eb="1">
      <t>ヒガシ</t>
    </rPh>
    <phoneticPr fontId="2"/>
  </si>
  <si>
    <t>外壁（2階）</t>
    <rPh sb="0" eb="2">
      <t>ガイヘキ</t>
    </rPh>
    <rPh sb="4" eb="5">
      <t>カイ</t>
    </rPh>
    <phoneticPr fontId="2"/>
  </si>
  <si>
    <t>面積合計A1=</t>
    <rPh sb="0" eb="2">
      <t>メンセキ</t>
    </rPh>
    <rPh sb="2" eb="4">
      <t>ゴウケイ</t>
    </rPh>
    <phoneticPr fontId="2"/>
  </si>
  <si>
    <t>q1=</t>
    <phoneticPr fontId="2"/>
  </si>
  <si>
    <t>q2=</t>
    <phoneticPr fontId="2"/>
  </si>
  <si>
    <t>周長L
[m]</t>
    <rPh sb="0" eb="2">
      <t>シュウチョウ</t>
    </rPh>
    <phoneticPr fontId="2"/>
  </si>
  <si>
    <t>天井（1階、下屋部分）</t>
    <rPh sb="0" eb="2">
      <t>テンジョウ</t>
    </rPh>
    <rPh sb="4" eb="5">
      <t>カイ</t>
    </rPh>
    <rPh sb="6" eb="8">
      <t>ゲヤ</t>
    </rPh>
    <rPh sb="8" eb="10">
      <t>ブブン</t>
    </rPh>
    <phoneticPr fontId="2"/>
  </si>
  <si>
    <t>天井（2階全体）</t>
    <rPh sb="0" eb="2">
      <t>テンジョウ</t>
    </rPh>
    <rPh sb="4" eb="5">
      <t>カイ</t>
    </rPh>
    <rPh sb="5" eb="7">
      <t>ゼンタイ</t>
    </rPh>
    <phoneticPr fontId="2"/>
  </si>
  <si>
    <t>面積合計A4=</t>
    <rPh sb="0" eb="2">
      <t>メンセキ</t>
    </rPh>
    <rPh sb="2" eb="4">
      <t>ゴウケイ</t>
    </rPh>
    <phoneticPr fontId="2"/>
  </si>
  <si>
    <t>上</t>
    <rPh sb="0" eb="1">
      <t>ウエ</t>
    </rPh>
    <phoneticPr fontId="2"/>
  </si>
  <si>
    <t>面積合計A5=</t>
    <rPh sb="0" eb="2">
      <t>メンセキ</t>
    </rPh>
    <rPh sb="2" eb="4">
      <t>ゴウケイ</t>
    </rPh>
    <phoneticPr fontId="2"/>
  </si>
  <si>
    <t>室名</t>
    <rPh sb="0" eb="1">
      <t>シツ</t>
    </rPh>
    <rPh sb="1" eb="2">
      <t>メイ</t>
    </rPh>
    <phoneticPr fontId="2"/>
  </si>
  <si>
    <t>和室</t>
    <rPh sb="0" eb="2">
      <t>ワシツ</t>
    </rPh>
    <phoneticPr fontId="2"/>
  </si>
  <si>
    <t>台所</t>
    <rPh sb="0" eb="2">
      <t>ダイドコロ</t>
    </rPh>
    <phoneticPr fontId="2"/>
  </si>
  <si>
    <t>浴室</t>
    <rPh sb="0" eb="2">
      <t>ヨクシツ</t>
    </rPh>
    <phoneticPr fontId="2"/>
  </si>
  <si>
    <t>トイレ</t>
    <phoneticPr fontId="2"/>
  </si>
  <si>
    <t>洗面室</t>
    <rPh sb="0" eb="2">
      <t>センメン</t>
    </rPh>
    <rPh sb="2" eb="3">
      <t>シツ</t>
    </rPh>
    <phoneticPr fontId="2"/>
  </si>
  <si>
    <t>ホール</t>
    <phoneticPr fontId="2"/>
  </si>
  <si>
    <t>寝室</t>
    <rPh sb="0" eb="2">
      <t>シンシツ</t>
    </rPh>
    <phoneticPr fontId="2"/>
  </si>
  <si>
    <t>子供室1</t>
    <rPh sb="0" eb="2">
      <t>コドモ</t>
    </rPh>
    <rPh sb="2" eb="3">
      <t>シツ</t>
    </rPh>
    <phoneticPr fontId="2"/>
  </si>
  <si>
    <t>子供室2</t>
    <rPh sb="0" eb="2">
      <t>コドモ</t>
    </rPh>
    <rPh sb="2" eb="3">
      <t>シツ</t>
    </rPh>
    <phoneticPr fontId="2"/>
  </si>
  <si>
    <t>2Fホール</t>
    <phoneticPr fontId="2"/>
  </si>
  <si>
    <t>面積合計A6=</t>
    <rPh sb="0" eb="2">
      <t>メンセキ</t>
    </rPh>
    <rPh sb="2" eb="4">
      <t>ゴウケイ</t>
    </rPh>
    <phoneticPr fontId="2"/>
  </si>
  <si>
    <t>玄関</t>
    <rPh sb="0" eb="2">
      <t>ゲンカン</t>
    </rPh>
    <phoneticPr fontId="2"/>
  </si>
  <si>
    <t>面積合計A7=</t>
    <rPh sb="0" eb="2">
      <t>メンセキ</t>
    </rPh>
    <rPh sb="2" eb="4">
      <t>ゴウケイ</t>
    </rPh>
    <phoneticPr fontId="2"/>
  </si>
  <si>
    <t>q7=</t>
    <phoneticPr fontId="2"/>
  </si>
  <si>
    <t>■集計</t>
    <rPh sb="1" eb="3">
      <t>シュウケイ</t>
    </rPh>
    <phoneticPr fontId="2"/>
  </si>
  <si>
    <t>面積</t>
    <rPh sb="0" eb="2">
      <t>メンセキ</t>
    </rPh>
    <phoneticPr fontId="2"/>
  </si>
  <si>
    <t>熱損失</t>
    <rPh sb="0" eb="1">
      <t>ネツ</t>
    </rPh>
    <rPh sb="1" eb="3">
      <t>ソンシツ</t>
    </rPh>
    <phoneticPr fontId="2"/>
  </si>
  <si>
    <t>冷房期日射熱取得</t>
    <rPh sb="0" eb="2">
      <t>レイボウ</t>
    </rPh>
    <rPh sb="2" eb="3">
      <t>キ</t>
    </rPh>
    <rPh sb="3" eb="5">
      <t>ニッシャ</t>
    </rPh>
    <rPh sb="5" eb="6">
      <t>ネツ</t>
    </rPh>
    <rPh sb="6" eb="8">
      <t>シュトク</t>
    </rPh>
    <phoneticPr fontId="2"/>
  </si>
  <si>
    <t>暖房期日射熱取得</t>
    <rPh sb="0" eb="2">
      <t>ダンボウ</t>
    </rPh>
    <rPh sb="2" eb="3">
      <t>キ</t>
    </rPh>
    <rPh sb="3" eb="5">
      <t>ニッシャ</t>
    </rPh>
    <rPh sb="5" eb="6">
      <t>ネツ</t>
    </rPh>
    <rPh sb="6" eb="8">
      <t>シュトク</t>
    </rPh>
    <phoneticPr fontId="2"/>
  </si>
  <si>
    <t>外壁</t>
    <rPh sb="0" eb="2">
      <t>ガイヘキ</t>
    </rPh>
    <phoneticPr fontId="2"/>
  </si>
  <si>
    <t>q1</t>
    <phoneticPr fontId="2"/>
  </si>
  <si>
    <t>窓</t>
    <rPh sb="0" eb="1">
      <t>マド</t>
    </rPh>
    <phoneticPr fontId="2"/>
  </si>
  <si>
    <t>A6</t>
    <phoneticPr fontId="2"/>
  </si>
  <si>
    <t>q6</t>
  </si>
  <si>
    <t>ドア</t>
    <phoneticPr fontId="2"/>
  </si>
  <si>
    <t>外壁（階間ふところ）</t>
    <rPh sb="0" eb="2">
      <t>ガイヘキ</t>
    </rPh>
    <rPh sb="3" eb="4">
      <t>カイ</t>
    </rPh>
    <rPh sb="4" eb="5">
      <t>マ</t>
    </rPh>
    <phoneticPr fontId="2"/>
  </si>
  <si>
    <t>暖房期方位係数</t>
    <rPh sb="0" eb="2">
      <t>ダンボウ</t>
    </rPh>
    <rPh sb="2" eb="3">
      <t>キ</t>
    </rPh>
    <rPh sb="3" eb="5">
      <t>ホウイ</t>
    </rPh>
    <rPh sb="5" eb="7">
      <t>ケイスウ</t>
    </rPh>
    <phoneticPr fontId="2"/>
  </si>
  <si>
    <t>：地域</t>
    <rPh sb="1" eb="3">
      <t>チイキ</t>
    </rPh>
    <phoneticPr fontId="2"/>
  </si>
  <si>
    <t>冷房期方位係数</t>
    <rPh sb="0" eb="2">
      <t>レイボウ</t>
    </rPh>
    <rPh sb="2" eb="3">
      <t>キ</t>
    </rPh>
    <rPh sb="3" eb="5">
      <t>ホウイ</t>
    </rPh>
    <rPh sb="5" eb="7">
      <t>ケイスウ</t>
    </rPh>
    <phoneticPr fontId="2"/>
  </si>
  <si>
    <t>上</t>
    <rPh sb="0" eb="1">
      <t>ウエ</t>
    </rPh>
    <phoneticPr fontId="2"/>
  </si>
  <si>
    <t>北</t>
    <rPh sb="0" eb="1">
      <t>キタ</t>
    </rPh>
    <phoneticPr fontId="2"/>
  </si>
  <si>
    <t>北東</t>
    <rPh sb="0" eb="2">
      <t>ホクトウ</t>
    </rPh>
    <phoneticPr fontId="2"/>
  </si>
  <si>
    <t>東</t>
    <rPh sb="0" eb="1">
      <t>ヒガシ</t>
    </rPh>
    <phoneticPr fontId="2"/>
  </si>
  <si>
    <t>南東</t>
    <rPh sb="0" eb="2">
      <t>ナントウ</t>
    </rPh>
    <phoneticPr fontId="2"/>
  </si>
  <si>
    <t>南</t>
    <rPh sb="0" eb="1">
      <t>ミナミ</t>
    </rPh>
    <phoneticPr fontId="2"/>
  </si>
  <si>
    <t>南西</t>
    <rPh sb="0" eb="2">
      <t>ナンセイ</t>
    </rPh>
    <phoneticPr fontId="2"/>
  </si>
  <si>
    <t>北西</t>
    <rPh sb="0" eb="2">
      <t>ホクセイ</t>
    </rPh>
    <phoneticPr fontId="2"/>
  </si>
  <si>
    <t>西</t>
    <rPh sb="0" eb="1">
      <t>ニシ</t>
    </rPh>
    <phoneticPr fontId="2"/>
  </si>
  <si>
    <t>面積合計A2=</t>
    <rPh sb="0" eb="2">
      <t>メンセキ</t>
    </rPh>
    <rPh sb="2" eb="4">
      <t>ゴウケイ</t>
    </rPh>
    <phoneticPr fontId="2"/>
  </si>
  <si>
    <t>屋根</t>
    <rPh sb="0" eb="2">
      <t>ヤネ</t>
    </rPh>
    <phoneticPr fontId="2"/>
  </si>
  <si>
    <t>外壁（小屋妻壁）</t>
    <rPh sb="0" eb="2">
      <t>ガイヘキ</t>
    </rPh>
    <rPh sb="3" eb="5">
      <t>コヤ</t>
    </rPh>
    <rPh sb="5" eb="6">
      <t>ツマ</t>
    </rPh>
    <rPh sb="6" eb="7">
      <t>カベ</t>
    </rPh>
    <phoneticPr fontId="2"/>
  </si>
  <si>
    <t>屋根（下屋（北））</t>
    <rPh sb="0" eb="2">
      <t>ヤネ</t>
    </rPh>
    <rPh sb="3" eb="5">
      <t>ゲヤ</t>
    </rPh>
    <rPh sb="6" eb="7">
      <t>キタ</t>
    </rPh>
    <phoneticPr fontId="2"/>
  </si>
  <si>
    <t>外壁（下屋（北）妻壁）</t>
    <rPh sb="0" eb="2">
      <t>ガイヘキ</t>
    </rPh>
    <rPh sb="3" eb="5">
      <t>ゲヤ</t>
    </rPh>
    <rPh sb="6" eb="7">
      <t>キタ</t>
    </rPh>
    <rPh sb="8" eb="9">
      <t>ツマ</t>
    </rPh>
    <rPh sb="9" eb="10">
      <t>カベ</t>
    </rPh>
    <phoneticPr fontId="2"/>
  </si>
  <si>
    <t>屋根（下屋（西））</t>
    <rPh sb="0" eb="2">
      <t>ヤネ</t>
    </rPh>
    <rPh sb="3" eb="5">
      <t>ゲヤ</t>
    </rPh>
    <rPh sb="6" eb="7">
      <t>ニシ</t>
    </rPh>
    <phoneticPr fontId="2"/>
  </si>
  <si>
    <t>外壁（下屋（西）妻壁）</t>
    <rPh sb="0" eb="2">
      <t>ガイヘキ</t>
    </rPh>
    <rPh sb="3" eb="5">
      <t>ゲヤ</t>
    </rPh>
    <rPh sb="6" eb="7">
      <t>ニシ</t>
    </rPh>
    <rPh sb="8" eb="9">
      <t>ツマ</t>
    </rPh>
    <rPh sb="9" eb="10">
      <t>カベ</t>
    </rPh>
    <phoneticPr fontId="2"/>
  </si>
  <si>
    <t>◆窓</t>
    <rPh sb="1" eb="2">
      <t>マド</t>
    </rPh>
    <phoneticPr fontId="2"/>
  </si>
  <si>
    <t>クローゼット（4地域以南）</t>
    <rPh sb="8" eb="10">
      <t>チイキ</t>
    </rPh>
    <rPh sb="10" eb="12">
      <t>イナン</t>
    </rPh>
    <phoneticPr fontId="2"/>
  </si>
  <si>
    <t>分類</t>
    <rPh sb="0" eb="2">
      <t>ブンルイ</t>
    </rPh>
    <phoneticPr fontId="7"/>
  </si>
  <si>
    <t>熱伝導率
[W/mK]</t>
    <rPh sb="0" eb="1">
      <t>ネツ</t>
    </rPh>
    <rPh sb="1" eb="4">
      <t>デンドウリツ</t>
    </rPh>
    <phoneticPr fontId="7"/>
  </si>
  <si>
    <t>金属</t>
    <rPh sb="0" eb="2">
      <t>キンゾク</t>
    </rPh>
    <phoneticPr fontId="2"/>
  </si>
  <si>
    <t>鋼</t>
    <rPh sb="0" eb="1">
      <t>コウ</t>
    </rPh>
    <phoneticPr fontId="7"/>
  </si>
  <si>
    <t>銅</t>
    <rPh sb="0" eb="1">
      <t>ドウ</t>
    </rPh>
    <phoneticPr fontId="7"/>
  </si>
  <si>
    <t>ステンレス鋼</t>
    <rPh sb="5" eb="6">
      <t>コウ</t>
    </rPh>
    <phoneticPr fontId="7"/>
  </si>
  <si>
    <t>岩石・土壌</t>
    <rPh sb="0" eb="2">
      <t>ガンセキ</t>
    </rPh>
    <rPh sb="3" eb="5">
      <t>ドジョウ</t>
    </rPh>
    <phoneticPr fontId="2"/>
  </si>
  <si>
    <t>岩石</t>
    <rPh sb="0" eb="2">
      <t>ガンセキ</t>
    </rPh>
    <phoneticPr fontId="7"/>
  </si>
  <si>
    <t>土壌</t>
    <rPh sb="0" eb="2">
      <t>ドジョウ</t>
    </rPh>
    <phoneticPr fontId="7"/>
  </si>
  <si>
    <t>コンクリート系
材料</t>
    <rPh sb="6" eb="7">
      <t>ケイ</t>
    </rPh>
    <rPh sb="8" eb="10">
      <t>ザイリョウ</t>
    </rPh>
    <phoneticPr fontId="2"/>
  </si>
  <si>
    <t>軽量コンクリート（軽量１種）</t>
    <rPh sb="0" eb="2">
      <t>ケイリョウ</t>
    </rPh>
    <rPh sb="9" eb="11">
      <t>ケイリョウ</t>
    </rPh>
    <rPh sb="12" eb="13">
      <t>シュ</t>
    </rPh>
    <phoneticPr fontId="7"/>
  </si>
  <si>
    <t>軽量コンクリート（軽量２種）</t>
    <rPh sb="0" eb="2">
      <t>ケイリョウ</t>
    </rPh>
    <rPh sb="9" eb="11">
      <t>ケイリョウ</t>
    </rPh>
    <rPh sb="12" eb="13">
      <t>シュ</t>
    </rPh>
    <phoneticPr fontId="7"/>
  </si>
  <si>
    <t>コンクリートブロック（重量）</t>
    <rPh sb="11" eb="13">
      <t>ジュウリョウ</t>
    </rPh>
    <phoneticPr fontId="7"/>
  </si>
  <si>
    <t>コンクリートブロック（軽量）</t>
    <rPh sb="11" eb="13">
      <t>ケイリョウ</t>
    </rPh>
    <phoneticPr fontId="7"/>
  </si>
  <si>
    <t>セメント・モルタル</t>
    <phoneticPr fontId="7"/>
  </si>
  <si>
    <t>押出成型セメント板</t>
    <rPh sb="0" eb="1">
      <t>オ</t>
    </rPh>
    <rPh sb="1" eb="2">
      <t>ダ</t>
    </rPh>
    <rPh sb="2" eb="4">
      <t>セイケイ</t>
    </rPh>
    <rPh sb="8" eb="9">
      <t>バン</t>
    </rPh>
    <phoneticPr fontId="7"/>
  </si>
  <si>
    <t>非木質系
壁材・下地材</t>
    <rPh sb="0" eb="1">
      <t>ヒ</t>
    </rPh>
    <rPh sb="1" eb="3">
      <t>モクシツ</t>
    </rPh>
    <rPh sb="3" eb="4">
      <t>ケイ</t>
    </rPh>
    <rPh sb="5" eb="6">
      <t>カベ</t>
    </rPh>
    <rPh sb="6" eb="7">
      <t>ザイ</t>
    </rPh>
    <rPh sb="8" eb="10">
      <t>シタジ</t>
    </rPh>
    <rPh sb="10" eb="11">
      <t>ザイ</t>
    </rPh>
    <phoneticPr fontId="2"/>
  </si>
  <si>
    <t>土壁</t>
    <rPh sb="0" eb="1">
      <t>ツチ</t>
    </rPh>
    <rPh sb="1" eb="2">
      <t>カベ</t>
    </rPh>
    <phoneticPr fontId="7"/>
  </si>
  <si>
    <t>ロックウール化粧吸音板</t>
    <rPh sb="6" eb="8">
      <t>ケショウ</t>
    </rPh>
    <rPh sb="8" eb="10">
      <t>キュウオン</t>
    </rPh>
    <rPh sb="10" eb="11">
      <t>バン</t>
    </rPh>
    <phoneticPr fontId="7"/>
  </si>
  <si>
    <t>木質系
壁材・下地材</t>
    <rPh sb="0" eb="2">
      <t>モクシツ</t>
    </rPh>
    <rPh sb="2" eb="3">
      <t>ケイ</t>
    </rPh>
    <rPh sb="4" eb="5">
      <t>カベ</t>
    </rPh>
    <rPh sb="5" eb="6">
      <t>ザイ</t>
    </rPh>
    <rPh sb="7" eb="9">
      <t>シタジ</t>
    </rPh>
    <rPh sb="9" eb="10">
      <t>ザイ</t>
    </rPh>
    <phoneticPr fontId="2"/>
  </si>
  <si>
    <t>天然木材</t>
    <rPh sb="0" eb="2">
      <t>テンネン</t>
    </rPh>
    <rPh sb="2" eb="4">
      <t>モクザイ</t>
    </rPh>
    <phoneticPr fontId="7"/>
  </si>
  <si>
    <t>合板</t>
    <rPh sb="0" eb="2">
      <t>ゴウハン</t>
    </rPh>
    <phoneticPr fontId="7"/>
  </si>
  <si>
    <t>A級インシュレーションボード</t>
    <rPh sb="1" eb="2">
      <t>キュウ</t>
    </rPh>
    <phoneticPr fontId="7"/>
  </si>
  <si>
    <t>木毛セメント板</t>
    <rPh sb="0" eb="1">
      <t>モク</t>
    </rPh>
    <rPh sb="1" eb="2">
      <t>ケ</t>
    </rPh>
    <rPh sb="6" eb="7">
      <t>イタ</t>
    </rPh>
    <phoneticPr fontId="7"/>
  </si>
  <si>
    <t>木片セメント板</t>
    <rPh sb="0" eb="2">
      <t>モクヘン</t>
    </rPh>
    <rPh sb="6" eb="7">
      <t>イタ</t>
    </rPh>
    <phoneticPr fontId="7"/>
  </si>
  <si>
    <t>床材</t>
    <rPh sb="0" eb="2">
      <t>ユカザイ</t>
    </rPh>
    <phoneticPr fontId="2"/>
  </si>
  <si>
    <t>ビニル系床材</t>
    <rPh sb="3" eb="4">
      <t>ケイ</t>
    </rPh>
    <rPh sb="4" eb="6">
      <t>ユカザイ</t>
    </rPh>
    <phoneticPr fontId="7"/>
  </si>
  <si>
    <t>アスファルト類</t>
    <rPh sb="6" eb="7">
      <t>ルイ</t>
    </rPh>
    <phoneticPr fontId="7"/>
  </si>
  <si>
    <t>カーペット類</t>
    <rPh sb="5" eb="6">
      <t>ルイ</t>
    </rPh>
    <phoneticPr fontId="7"/>
  </si>
  <si>
    <t>グラスウール
断熱材</t>
    <rPh sb="7" eb="10">
      <t>ダンネツザイ</t>
    </rPh>
    <phoneticPr fontId="2"/>
  </si>
  <si>
    <t>グラスウール断熱材 10K相当</t>
    <rPh sb="6" eb="9">
      <t>ダンネツザイ</t>
    </rPh>
    <rPh sb="13" eb="15">
      <t>ソウトウ</t>
    </rPh>
    <phoneticPr fontId="7"/>
  </si>
  <si>
    <t>グラスウール断熱材 16K相当</t>
    <rPh sb="6" eb="9">
      <t>ダンネツザイ</t>
    </rPh>
    <rPh sb="13" eb="15">
      <t>ソウトウ</t>
    </rPh>
    <phoneticPr fontId="7"/>
  </si>
  <si>
    <t>グラスウール断熱材 20K相当</t>
    <rPh sb="6" eb="9">
      <t>ダンネツザイ</t>
    </rPh>
    <rPh sb="13" eb="15">
      <t>ソウトウ</t>
    </rPh>
    <phoneticPr fontId="7"/>
  </si>
  <si>
    <t>グラスウール断熱材 24K相当</t>
    <rPh sb="6" eb="9">
      <t>ダンネツザイ</t>
    </rPh>
    <rPh sb="13" eb="15">
      <t>ソウトウ</t>
    </rPh>
    <phoneticPr fontId="7"/>
  </si>
  <si>
    <t>グラスウール断熱材 32K相当</t>
    <rPh sb="6" eb="9">
      <t>ダンネツザイ</t>
    </rPh>
    <rPh sb="13" eb="15">
      <t>ソウトウ</t>
    </rPh>
    <phoneticPr fontId="7"/>
  </si>
  <si>
    <t>高性能グラスウール断熱材 16K相当</t>
    <rPh sb="0" eb="3">
      <t>コウセイノウ</t>
    </rPh>
    <rPh sb="9" eb="12">
      <t>ダンネツザイ</t>
    </rPh>
    <rPh sb="16" eb="18">
      <t>ソウトウ</t>
    </rPh>
    <phoneticPr fontId="7"/>
  </si>
  <si>
    <t>高性能グラスウール断熱材 24K相当</t>
    <rPh sb="0" eb="3">
      <t>コウセイノウ</t>
    </rPh>
    <rPh sb="9" eb="12">
      <t>ダンネツザイ</t>
    </rPh>
    <rPh sb="16" eb="18">
      <t>ソウトウ</t>
    </rPh>
    <phoneticPr fontId="7"/>
  </si>
  <si>
    <t>高性能グラスウール断熱材 32K相当</t>
    <rPh sb="0" eb="3">
      <t>コウセイノウ</t>
    </rPh>
    <rPh sb="9" eb="12">
      <t>ダンネツザイ</t>
    </rPh>
    <rPh sb="16" eb="18">
      <t>ソウトウ</t>
    </rPh>
    <phoneticPr fontId="7"/>
  </si>
  <si>
    <t>高性能グラスウール断熱材 40K相当</t>
    <rPh sb="0" eb="3">
      <t>コウセイノウ</t>
    </rPh>
    <rPh sb="9" eb="12">
      <t>ダンネツザイ</t>
    </rPh>
    <rPh sb="16" eb="18">
      <t>ソウトウ</t>
    </rPh>
    <phoneticPr fontId="7"/>
  </si>
  <si>
    <t>高性能グラスウール断熱材 48K相当</t>
    <rPh sb="0" eb="3">
      <t>コウセイノウ</t>
    </rPh>
    <rPh sb="9" eb="12">
      <t>ダンネツザイ</t>
    </rPh>
    <rPh sb="16" eb="18">
      <t>ソウトウ</t>
    </rPh>
    <phoneticPr fontId="7"/>
  </si>
  <si>
    <t>吹込み用グラスウール（13K相当・18K相当）</t>
    <rPh sb="0" eb="2">
      <t>フキコ</t>
    </rPh>
    <rPh sb="3" eb="4">
      <t>ヨウ</t>
    </rPh>
    <rPh sb="14" eb="16">
      <t>ソウトウ</t>
    </rPh>
    <rPh sb="20" eb="22">
      <t>ソウトウ</t>
    </rPh>
    <phoneticPr fontId="7"/>
  </si>
  <si>
    <t>吹込み用グラスウール（30K相当・35K相当）</t>
    <rPh sb="0" eb="2">
      <t>フキコ</t>
    </rPh>
    <rPh sb="3" eb="4">
      <t>ヨウ</t>
    </rPh>
    <rPh sb="14" eb="16">
      <t>ソウトウ</t>
    </rPh>
    <rPh sb="20" eb="22">
      <t>ソウトウ</t>
    </rPh>
    <phoneticPr fontId="7"/>
  </si>
  <si>
    <t>ロックウール
断熱材</t>
    <rPh sb="7" eb="10">
      <t>ダンネツザイ</t>
    </rPh>
    <phoneticPr fontId="2"/>
  </si>
  <si>
    <t>吹付けロックウール</t>
    <rPh sb="0" eb="2">
      <t>フキツ</t>
    </rPh>
    <phoneticPr fontId="7"/>
  </si>
  <si>
    <t>ロックウール断熱材（マット・フェルト）</t>
    <rPh sb="6" eb="9">
      <t>ダンネツザイ</t>
    </rPh>
    <phoneticPr fontId="7"/>
  </si>
  <si>
    <t>ロックウール断熱材（ボード）</t>
    <rPh sb="6" eb="9">
      <t>ダンネツザイ</t>
    </rPh>
    <phoneticPr fontId="7"/>
  </si>
  <si>
    <t>吹込み用ロックウール 25K相当</t>
    <rPh sb="0" eb="2">
      <t>フキコ</t>
    </rPh>
    <rPh sb="3" eb="4">
      <t>ヨウ</t>
    </rPh>
    <rPh sb="14" eb="16">
      <t>ソウトウ</t>
    </rPh>
    <phoneticPr fontId="7"/>
  </si>
  <si>
    <t>吹込み用ロックウール 65K相当</t>
    <rPh sb="0" eb="2">
      <t>フキコ</t>
    </rPh>
    <rPh sb="3" eb="4">
      <t>ヨウ</t>
    </rPh>
    <rPh sb="14" eb="16">
      <t>ソウトウ</t>
    </rPh>
    <phoneticPr fontId="7"/>
  </si>
  <si>
    <t>セルローズファイバー</t>
    <phoneticPr fontId="2"/>
  </si>
  <si>
    <t>吹込用セルローズファイバー 25K・45K・55K</t>
    <rPh sb="0" eb="2">
      <t>フキコ</t>
    </rPh>
    <rPh sb="2" eb="3">
      <t>ヨウ</t>
    </rPh>
    <phoneticPr fontId="7"/>
  </si>
  <si>
    <t>ポリスチレンフォーム
断熱材</t>
    <rPh sb="11" eb="14">
      <t>ダンネツザイ</t>
    </rPh>
    <phoneticPr fontId="2"/>
  </si>
  <si>
    <t>押出法ポリスチレンフォーム保温板 1種</t>
    <rPh sb="0" eb="1">
      <t>オ</t>
    </rPh>
    <rPh sb="1" eb="2">
      <t>ダ</t>
    </rPh>
    <rPh sb="2" eb="3">
      <t>ホウ</t>
    </rPh>
    <rPh sb="13" eb="15">
      <t>ホオン</t>
    </rPh>
    <rPh sb="15" eb="16">
      <t>バン</t>
    </rPh>
    <rPh sb="18" eb="19">
      <t>シュ</t>
    </rPh>
    <phoneticPr fontId="7"/>
  </si>
  <si>
    <t>押出法ポリスチレンフォーム保温板 2種</t>
    <rPh sb="0" eb="1">
      <t>オ</t>
    </rPh>
    <rPh sb="1" eb="2">
      <t>ダ</t>
    </rPh>
    <rPh sb="2" eb="3">
      <t>ホウ</t>
    </rPh>
    <rPh sb="13" eb="15">
      <t>ホオン</t>
    </rPh>
    <rPh sb="15" eb="16">
      <t>バン</t>
    </rPh>
    <rPh sb="18" eb="19">
      <t>シュ</t>
    </rPh>
    <phoneticPr fontId="7"/>
  </si>
  <si>
    <t>押出法ポリスチレンフォーム保温板 3種</t>
    <rPh sb="0" eb="1">
      <t>オ</t>
    </rPh>
    <rPh sb="1" eb="2">
      <t>ダ</t>
    </rPh>
    <rPh sb="2" eb="3">
      <t>ホウ</t>
    </rPh>
    <rPh sb="13" eb="15">
      <t>ホオン</t>
    </rPh>
    <rPh sb="15" eb="16">
      <t>バン</t>
    </rPh>
    <rPh sb="18" eb="19">
      <t>シュ</t>
    </rPh>
    <phoneticPr fontId="7"/>
  </si>
  <si>
    <t>A種ポリエチレンフォーム保温板 1種2号</t>
    <rPh sb="1" eb="2">
      <t>シュ</t>
    </rPh>
    <rPh sb="12" eb="14">
      <t>ホオン</t>
    </rPh>
    <rPh sb="14" eb="15">
      <t>バン</t>
    </rPh>
    <rPh sb="17" eb="18">
      <t>シュ</t>
    </rPh>
    <rPh sb="19" eb="20">
      <t>ゴウ</t>
    </rPh>
    <phoneticPr fontId="7"/>
  </si>
  <si>
    <t>A種ポリエチレンフォーム保温板 2種</t>
    <rPh sb="1" eb="2">
      <t>シュ</t>
    </rPh>
    <rPh sb="12" eb="14">
      <t>ホオン</t>
    </rPh>
    <rPh sb="14" eb="15">
      <t>バン</t>
    </rPh>
    <rPh sb="17" eb="18">
      <t>シュ</t>
    </rPh>
    <phoneticPr fontId="7"/>
  </si>
  <si>
    <t>ビーズ法ポリスチレンフォーム保温板 特号</t>
    <rPh sb="3" eb="4">
      <t>ホウ</t>
    </rPh>
    <rPh sb="14" eb="16">
      <t>ホオン</t>
    </rPh>
    <rPh sb="16" eb="17">
      <t>バン</t>
    </rPh>
    <rPh sb="18" eb="19">
      <t>トク</t>
    </rPh>
    <rPh sb="19" eb="20">
      <t>ゴウ</t>
    </rPh>
    <phoneticPr fontId="7"/>
  </si>
  <si>
    <t>ビーズ法ポリスチレンフォーム保温板 1号</t>
    <rPh sb="3" eb="4">
      <t>ホウ</t>
    </rPh>
    <rPh sb="14" eb="16">
      <t>ホオン</t>
    </rPh>
    <rPh sb="16" eb="17">
      <t>バン</t>
    </rPh>
    <rPh sb="19" eb="20">
      <t>ゴウ</t>
    </rPh>
    <phoneticPr fontId="7"/>
  </si>
  <si>
    <t>ビーズ法ポリスチレンフォーム保温板 2号</t>
    <rPh sb="3" eb="4">
      <t>ホウ</t>
    </rPh>
    <rPh sb="19" eb="20">
      <t>ゴウ</t>
    </rPh>
    <phoneticPr fontId="7"/>
  </si>
  <si>
    <t>ビーズ法ポリスチレンフォーム保温板 3号</t>
    <rPh sb="3" eb="4">
      <t>ホウ</t>
    </rPh>
    <rPh sb="19" eb="20">
      <t>ゴウ</t>
    </rPh>
    <phoneticPr fontId="7"/>
  </si>
  <si>
    <t>ビーズ法ポリスチレンフォーム保温板 4号</t>
    <rPh sb="3" eb="4">
      <t>ホウ</t>
    </rPh>
    <rPh sb="14" eb="16">
      <t>ホオン</t>
    </rPh>
    <rPh sb="16" eb="17">
      <t>バン</t>
    </rPh>
    <rPh sb="19" eb="20">
      <t>ゴウ</t>
    </rPh>
    <phoneticPr fontId="7"/>
  </si>
  <si>
    <t>硬質ウレタンフォーム保温板 2種1号</t>
    <rPh sb="0" eb="2">
      <t>コウシツ</t>
    </rPh>
    <rPh sb="10" eb="12">
      <t>ホオン</t>
    </rPh>
    <rPh sb="12" eb="13">
      <t>バン</t>
    </rPh>
    <rPh sb="15" eb="16">
      <t>シュ</t>
    </rPh>
    <rPh sb="17" eb="18">
      <t>ゴウ</t>
    </rPh>
    <phoneticPr fontId="7"/>
  </si>
  <si>
    <t>硬質ウレタンフォーム保温板 2種2号</t>
    <rPh sb="0" eb="2">
      <t>コウシツ</t>
    </rPh>
    <rPh sb="10" eb="12">
      <t>ホオン</t>
    </rPh>
    <rPh sb="12" eb="13">
      <t>バン</t>
    </rPh>
    <rPh sb="15" eb="16">
      <t>シュ</t>
    </rPh>
    <rPh sb="17" eb="18">
      <t>ゴウ</t>
    </rPh>
    <phoneticPr fontId="7"/>
  </si>
  <si>
    <t>吹付け硬質ウレタンフォーム A種1</t>
    <rPh sb="0" eb="1">
      <t>フ</t>
    </rPh>
    <rPh sb="1" eb="2">
      <t>ツ</t>
    </rPh>
    <rPh sb="3" eb="5">
      <t>コウシツ</t>
    </rPh>
    <rPh sb="15" eb="16">
      <t>シュ</t>
    </rPh>
    <phoneticPr fontId="7"/>
  </si>
  <si>
    <t>吹付け硬質ウレタンフォーム A種3</t>
    <rPh sb="0" eb="1">
      <t>フ</t>
    </rPh>
    <rPh sb="1" eb="2">
      <t>ツ</t>
    </rPh>
    <rPh sb="3" eb="5">
      <t>コウシツ</t>
    </rPh>
    <rPh sb="15" eb="16">
      <t>シュ</t>
    </rPh>
    <phoneticPr fontId="7"/>
  </si>
  <si>
    <t>材料名称</t>
    <rPh sb="0" eb="2">
      <t>ザイリョウ</t>
    </rPh>
    <rPh sb="2" eb="4">
      <t>メイショウ</t>
    </rPh>
    <phoneticPr fontId="7"/>
  </si>
  <si>
    <t>ウレタン
フォーム
断熱材</t>
    <rPh sb="10" eb="13">
      <t>ダンネツザイ</t>
    </rPh>
    <phoneticPr fontId="2"/>
  </si>
  <si>
    <t>天井</t>
    <rPh sb="0" eb="2">
      <t>テンジョウ</t>
    </rPh>
    <phoneticPr fontId="2"/>
  </si>
  <si>
    <t>床</t>
    <rPh sb="0" eb="1">
      <t>ユカ</t>
    </rPh>
    <phoneticPr fontId="2"/>
  </si>
  <si>
    <t>室内側</t>
    <rPh sb="0" eb="2">
      <t>シツナイ</t>
    </rPh>
    <rPh sb="2" eb="3">
      <t>ガワ</t>
    </rPh>
    <phoneticPr fontId="2"/>
  </si>
  <si>
    <t>外気側</t>
    <rPh sb="0" eb="2">
      <t>ガイキ</t>
    </rPh>
    <rPh sb="2" eb="3">
      <t>ガワ</t>
    </rPh>
    <phoneticPr fontId="2"/>
  </si>
  <si>
    <t>◆表2:表面熱伝達抵抗</t>
    <rPh sb="1" eb="2">
      <t>ヒョウ</t>
    </rPh>
    <rPh sb="4" eb="6">
      <t>ヒョウメン</t>
    </rPh>
    <rPh sb="6" eb="9">
      <t>ネツデンタツ</t>
    </rPh>
    <rPh sb="9" eb="11">
      <t>テイコウ</t>
    </rPh>
    <phoneticPr fontId="2"/>
  </si>
  <si>
    <t>◆床（床断熱の場合）</t>
    <rPh sb="1" eb="2">
      <t>ユカ</t>
    </rPh>
    <rPh sb="3" eb="4">
      <t>ユカ</t>
    </rPh>
    <rPh sb="4" eb="6">
      <t>ダンネツ</t>
    </rPh>
    <rPh sb="7" eb="9">
      <t>バアイ</t>
    </rPh>
    <phoneticPr fontId="2"/>
  </si>
  <si>
    <t>◆天井または屋根（いずれか断熱境界となる部位）</t>
    <rPh sb="1" eb="3">
      <t>テンジョウ</t>
    </rPh>
    <rPh sb="6" eb="8">
      <t>ヤネ</t>
    </rPh>
    <rPh sb="13" eb="15">
      <t>ダンネツ</t>
    </rPh>
    <rPh sb="15" eb="17">
      <t>キョウカイ</t>
    </rPh>
    <rPh sb="20" eb="22">
      <t>ブイ</t>
    </rPh>
    <phoneticPr fontId="2"/>
  </si>
  <si>
    <t>せっこうボード</t>
    <phoneticPr fontId="2"/>
  </si>
  <si>
    <t>・シートの各セルは、以下のルールで着色されています。</t>
    <rPh sb="5" eb="6">
      <t>カク</t>
    </rPh>
    <rPh sb="10" eb="12">
      <t>イカ</t>
    </rPh>
    <rPh sb="17" eb="19">
      <t>チャクショク</t>
    </rPh>
    <phoneticPr fontId="2"/>
  </si>
  <si>
    <t>通常の入力セルです。数値や文字を入力して下さい。</t>
    <rPh sb="0" eb="2">
      <t>ツウジョウ</t>
    </rPh>
    <rPh sb="3" eb="5">
      <t>ニュウリョク</t>
    </rPh>
    <rPh sb="10" eb="12">
      <t>スウチ</t>
    </rPh>
    <rPh sb="13" eb="15">
      <t>モジ</t>
    </rPh>
    <rPh sb="16" eb="18">
      <t>ニュウリョク</t>
    </rPh>
    <rPh sb="20" eb="21">
      <t>クダ</t>
    </rPh>
    <phoneticPr fontId="2"/>
  </si>
  <si>
    <t>数式や固定の数値等が埋め込まれています。編集する必要がある場合を除き、入力しないで下さい。</t>
    <rPh sb="0" eb="2">
      <t>スウシキ</t>
    </rPh>
    <rPh sb="3" eb="5">
      <t>コテイ</t>
    </rPh>
    <rPh sb="6" eb="8">
      <t>スウチ</t>
    </rPh>
    <rPh sb="8" eb="9">
      <t>トウ</t>
    </rPh>
    <rPh sb="10" eb="11">
      <t>ウ</t>
    </rPh>
    <rPh sb="12" eb="13">
      <t>コ</t>
    </rPh>
    <rPh sb="20" eb="22">
      <t>ヘンシュウ</t>
    </rPh>
    <rPh sb="24" eb="26">
      <t>ヒツヨウ</t>
    </rPh>
    <rPh sb="29" eb="31">
      <t>バアイ</t>
    </rPh>
    <rPh sb="32" eb="33">
      <t>ノゾ</t>
    </rPh>
    <rPh sb="35" eb="37">
      <t>ニュウリョク</t>
    </rPh>
    <rPh sb="41" eb="42">
      <t>クダ</t>
    </rPh>
    <phoneticPr fontId="2"/>
  </si>
  <si>
    <t>（赤枠囲み・赤太字）他のシート・ファイル等へ数値を転記する必要があることを示しています。</t>
    <rPh sb="1" eb="2">
      <t>アカ</t>
    </rPh>
    <rPh sb="2" eb="3">
      <t>ワク</t>
    </rPh>
    <rPh sb="3" eb="4">
      <t>カコ</t>
    </rPh>
    <rPh sb="6" eb="7">
      <t>アカ</t>
    </rPh>
    <rPh sb="7" eb="9">
      <t>フトジ</t>
    </rPh>
    <rPh sb="10" eb="11">
      <t>ホカ</t>
    </rPh>
    <rPh sb="20" eb="21">
      <t>トウ</t>
    </rPh>
    <rPh sb="22" eb="24">
      <t>スウチ</t>
    </rPh>
    <rPh sb="25" eb="27">
      <t>テンキ</t>
    </rPh>
    <rPh sb="29" eb="31">
      <t>ヒツヨウ</t>
    </rPh>
    <rPh sb="37" eb="38">
      <t>シメ</t>
    </rPh>
    <phoneticPr fontId="2"/>
  </si>
  <si>
    <t>断面1
（一般部）</t>
    <rPh sb="0" eb="2">
      <t>ダンメン</t>
    </rPh>
    <rPh sb="5" eb="7">
      <t>イッパン</t>
    </rPh>
    <rPh sb="7" eb="8">
      <t>ブ</t>
    </rPh>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</si>
  <si>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</si>
  <si>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</si>
  <si>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</si>
  <si>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</si>
  <si>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</si>
  <si>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</si>
  <si>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</si>
  <si>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</si>
  <si>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t>このシートの内容を適用する地域を「適用する」として下さい</t>
    <rPh sb="6" eb="8">
      <t>ナイヨウ</t>
    </rPh>
    <rPh sb="9" eb="11">
      <t>テキヨウ</t>
    </rPh>
    <rPh sb="13" eb="15">
      <t>チイキ</t>
    </rPh>
    <rPh sb="17" eb="19">
      <t>テキヨウ</t>
    </rPh>
    <rPh sb="25" eb="26">
      <t>クダ</t>
    </rPh>
    <phoneticPr fontId="2"/>
  </si>
  <si>
    <t>入力上の注意事項</t>
    <rPh sb="0" eb="2">
      <t>ニュウリョク</t>
    </rPh>
    <rPh sb="2" eb="3">
      <t>ジョウ</t>
    </rPh>
    <rPh sb="4" eb="6">
      <t>チュウイ</t>
    </rPh>
    <rPh sb="6" eb="8">
      <t>ジコウ</t>
    </rPh>
    <phoneticPr fontId="2"/>
  </si>
  <si>
    <t>▲</t>
    <phoneticPr fontId="2"/>
  </si>
  <si>
    <t>天井または屋根で、断熱境界となる方の部位について入力して下さい</t>
    <rPh sb="0" eb="2">
      <t>テンジョウ</t>
    </rPh>
    <rPh sb="5" eb="7">
      <t>ヤネ</t>
    </rPh>
    <rPh sb="9" eb="11">
      <t>ダンネツ</t>
    </rPh>
    <rPh sb="11" eb="13">
      <t>キョウカイ</t>
    </rPh>
    <rPh sb="16" eb="17">
      <t>ホウ</t>
    </rPh>
    <rPh sb="18" eb="20">
      <t>ブイ</t>
    </rPh>
    <rPh sb="24" eb="26">
      <t>ニュウリョク</t>
    </rPh>
    <rPh sb="28" eb="29">
      <t>クダ</t>
    </rPh>
    <phoneticPr fontId="2"/>
  </si>
  <si>
    <t>▲</t>
    <phoneticPr fontId="2"/>
  </si>
  <si>
    <t>アルミニウム</t>
    <phoneticPr fontId="7"/>
  </si>
  <si>
    <t>コンクリート</t>
    <phoneticPr fontId="7"/>
  </si>
  <si>
    <t>フェノールフォーム</t>
    <phoneticPr fontId="2"/>
  </si>
  <si>
    <t xml:space="preserve">-  </t>
    <phoneticPr fontId="2"/>
  </si>
  <si>
    <t>応募する地域のうち、このシートの断熱仕様を適用する地域</t>
    <rPh sb="0" eb="2">
      <t>オウボ</t>
    </rPh>
    <rPh sb="4" eb="6">
      <t>チイキ</t>
    </rPh>
    <rPh sb="16" eb="18">
      <t>ダンネツ</t>
    </rPh>
    <rPh sb="18" eb="20">
      <t>シヨウ</t>
    </rPh>
    <rPh sb="21" eb="23">
      <t>テキヨウ</t>
    </rPh>
    <rPh sb="25" eb="27">
      <t>チイキ</t>
    </rPh>
    <phoneticPr fontId="2"/>
  </si>
  <si>
    <r>
      <t>面積A
[m</t>
    </r>
    <r>
      <rPr>
        <vertAlign val="superscript"/>
        <sz val="9"/>
        <color theme="1"/>
        <rFont val="メイリオ"/>
        <family val="3"/>
        <charset val="128"/>
      </rPr>
      <t>2</t>
    </r>
    <r>
      <rPr>
        <sz val="9"/>
        <color theme="1"/>
        <rFont val="メイリオ"/>
        <family val="3"/>
        <charset val="128"/>
      </rPr>
      <t>]</t>
    </r>
    <rPh sb="0" eb="2">
      <t>メンセキ</t>
    </rPh>
    <phoneticPr fontId="2"/>
  </si>
  <si>
    <r>
      <t>冷房期
方位係数
ν</t>
    </r>
    <r>
      <rPr>
        <vertAlign val="subscript"/>
        <sz val="9"/>
        <color theme="1"/>
        <rFont val="メイリオ"/>
        <family val="3"/>
        <charset val="128"/>
      </rPr>
      <t>C</t>
    </r>
    <rPh sb="0" eb="2">
      <t>レイボウ</t>
    </rPh>
    <rPh sb="2" eb="3">
      <t>キ</t>
    </rPh>
    <rPh sb="4" eb="6">
      <t>ホウイ</t>
    </rPh>
    <rPh sb="6" eb="8">
      <t>ケイスウ</t>
    </rPh>
    <phoneticPr fontId="2"/>
  </si>
  <si>
    <r>
      <t>暖房期
方位係数
ν</t>
    </r>
    <r>
      <rPr>
        <vertAlign val="subscript"/>
        <sz val="9"/>
        <color theme="1"/>
        <rFont val="メイリオ"/>
        <family val="3"/>
        <charset val="128"/>
      </rPr>
      <t>H</t>
    </r>
    <rPh sb="0" eb="2">
      <t>ダンボウ</t>
    </rPh>
    <rPh sb="2" eb="3">
      <t>キ</t>
    </rPh>
    <rPh sb="4" eb="6">
      <t>ホウイ</t>
    </rPh>
    <rPh sb="6" eb="8">
      <t>ケイスウ</t>
    </rPh>
    <phoneticPr fontId="2"/>
  </si>
  <si>
    <r>
      <t>m</t>
    </r>
    <r>
      <rPr>
        <vertAlign val="subscript"/>
        <sz val="9"/>
        <color theme="1"/>
        <rFont val="メイリオ"/>
        <family val="3"/>
        <charset val="128"/>
      </rPr>
      <t>C</t>
    </r>
    <r>
      <rPr>
        <sz val="9"/>
        <color theme="1"/>
        <rFont val="メイリオ"/>
        <family val="3"/>
        <charset val="128"/>
      </rPr>
      <t>1=</t>
    </r>
    <phoneticPr fontId="2"/>
  </si>
  <si>
    <r>
      <t>m</t>
    </r>
    <r>
      <rPr>
        <vertAlign val="subscript"/>
        <sz val="9"/>
        <color theme="1"/>
        <rFont val="メイリオ"/>
        <family val="3"/>
        <charset val="128"/>
      </rPr>
      <t>H</t>
    </r>
    <r>
      <rPr>
        <sz val="9"/>
        <color theme="1"/>
        <rFont val="メイリオ"/>
        <family val="3"/>
        <charset val="128"/>
      </rPr>
      <t>1=</t>
    </r>
    <phoneticPr fontId="2"/>
  </si>
  <si>
    <t>q3=</t>
    <phoneticPr fontId="2"/>
  </si>
  <si>
    <t>q4=</t>
    <phoneticPr fontId="2"/>
  </si>
  <si>
    <r>
      <t>m</t>
    </r>
    <r>
      <rPr>
        <vertAlign val="subscript"/>
        <sz val="9"/>
        <color theme="1"/>
        <rFont val="メイリオ"/>
        <family val="3"/>
        <charset val="128"/>
      </rPr>
      <t>C</t>
    </r>
    <r>
      <rPr>
        <sz val="9"/>
        <color theme="1"/>
        <rFont val="メイリオ"/>
        <family val="3"/>
        <charset val="128"/>
      </rPr>
      <t>4=</t>
    </r>
    <phoneticPr fontId="2"/>
  </si>
  <si>
    <r>
      <t>m</t>
    </r>
    <r>
      <rPr>
        <vertAlign val="subscript"/>
        <sz val="9"/>
        <color theme="1"/>
        <rFont val="メイリオ"/>
        <family val="3"/>
        <charset val="128"/>
      </rPr>
      <t>H</t>
    </r>
    <r>
      <rPr>
        <sz val="9"/>
        <color theme="1"/>
        <rFont val="メイリオ"/>
        <family val="3"/>
        <charset val="128"/>
      </rPr>
      <t>4=</t>
    </r>
    <phoneticPr fontId="2"/>
  </si>
  <si>
    <t>q5=</t>
    <phoneticPr fontId="2"/>
  </si>
  <si>
    <r>
      <t>m</t>
    </r>
    <r>
      <rPr>
        <vertAlign val="subscript"/>
        <sz val="9"/>
        <color theme="1"/>
        <rFont val="メイリオ"/>
        <family val="3"/>
        <charset val="128"/>
      </rPr>
      <t>C</t>
    </r>
    <r>
      <rPr>
        <sz val="9"/>
        <color theme="1"/>
        <rFont val="メイリオ"/>
        <family val="3"/>
        <charset val="128"/>
      </rPr>
      <t>5=</t>
    </r>
    <phoneticPr fontId="2"/>
  </si>
  <si>
    <r>
      <t>m</t>
    </r>
    <r>
      <rPr>
        <vertAlign val="subscript"/>
        <sz val="9"/>
        <color theme="1"/>
        <rFont val="メイリオ"/>
        <family val="3"/>
        <charset val="128"/>
      </rPr>
      <t>H</t>
    </r>
    <r>
      <rPr>
        <sz val="9"/>
        <color theme="1"/>
        <rFont val="メイリオ"/>
        <family val="3"/>
        <charset val="128"/>
      </rPr>
      <t>5=</t>
    </r>
    <phoneticPr fontId="2"/>
  </si>
  <si>
    <t>LD</t>
    <phoneticPr fontId="2"/>
  </si>
  <si>
    <t>q6=</t>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</si>
  <si>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</si>
  <si>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</si>
  <si>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</si>
  <si>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</si>
  <si>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A1</t>
    <phoneticPr fontId="2"/>
  </si>
  <si>
    <r>
      <t>m</t>
    </r>
    <r>
      <rPr>
        <vertAlign val="subscript"/>
        <sz val="9"/>
        <color theme="1"/>
        <rFont val="メイリオ"/>
        <family val="3"/>
        <charset val="128"/>
      </rPr>
      <t>H</t>
    </r>
    <r>
      <rPr>
        <sz val="9"/>
        <color theme="1"/>
        <rFont val="メイリオ"/>
        <family val="3"/>
        <charset val="128"/>
      </rPr>
      <t>1</t>
    </r>
    <phoneticPr fontId="2"/>
  </si>
  <si>
    <r>
      <t>m</t>
    </r>
    <r>
      <rPr>
        <vertAlign val="subscript"/>
        <sz val="9"/>
        <color theme="1"/>
        <rFont val="メイリオ"/>
        <family val="3"/>
        <charset val="128"/>
      </rPr>
      <t>C</t>
    </r>
    <r>
      <rPr>
        <sz val="9"/>
        <color theme="1"/>
        <rFont val="メイリオ"/>
        <family val="3"/>
        <charset val="128"/>
      </rPr>
      <t>6</t>
    </r>
    <phoneticPr fontId="2"/>
  </si>
  <si>
    <r>
      <t>m</t>
    </r>
    <r>
      <rPr>
        <vertAlign val="subscript"/>
        <sz val="9"/>
        <color theme="1"/>
        <rFont val="メイリオ"/>
        <family val="3"/>
        <charset val="128"/>
      </rPr>
      <t>H</t>
    </r>
    <r>
      <rPr>
        <sz val="9"/>
        <color theme="1"/>
        <rFont val="メイリオ"/>
        <family val="3"/>
        <charset val="128"/>
      </rPr>
      <t>6</t>
    </r>
    <phoneticPr fontId="2"/>
  </si>
  <si>
    <t>A7</t>
    <phoneticPr fontId="2"/>
  </si>
  <si>
    <t>q7</t>
    <phoneticPr fontId="2"/>
  </si>
  <si>
    <r>
      <t>m</t>
    </r>
    <r>
      <rPr>
        <vertAlign val="subscript"/>
        <sz val="9"/>
        <color theme="1"/>
        <rFont val="メイリオ"/>
        <family val="3"/>
        <charset val="128"/>
      </rPr>
      <t>C</t>
    </r>
    <r>
      <rPr>
        <sz val="9"/>
        <color theme="1"/>
        <rFont val="メイリオ"/>
        <family val="3"/>
        <charset val="128"/>
      </rPr>
      <t>7</t>
    </r>
    <phoneticPr fontId="2"/>
  </si>
  <si>
    <r>
      <t>m</t>
    </r>
    <r>
      <rPr>
        <vertAlign val="subscript"/>
        <sz val="9"/>
        <color theme="1"/>
        <rFont val="メイリオ"/>
        <family val="3"/>
        <charset val="128"/>
      </rPr>
      <t>H</t>
    </r>
    <r>
      <rPr>
        <sz val="9"/>
        <color theme="1"/>
        <rFont val="メイリオ"/>
        <family val="3"/>
        <charset val="128"/>
      </rPr>
      <t>7</t>
    </r>
    <phoneticPr fontId="2"/>
  </si>
  <si>
    <t xml:space="preserve">q </t>
    <phoneticPr fontId="2"/>
  </si>
  <si>
    <t>▲</t>
  </si>
  <si>
    <t>天井断熱の場合にU値を転記して下さい。</t>
    <rPh sb="0" eb="2">
      <t>テンジョウ</t>
    </rPh>
    <rPh sb="2" eb="4">
      <t>ダンネツ</t>
    </rPh>
    <rPh sb="5" eb="7">
      <t>バアイ</t>
    </rPh>
    <rPh sb="9" eb="10">
      <t>チ</t>
    </rPh>
    <rPh sb="11" eb="13">
      <t>テンキ</t>
    </rPh>
    <rPh sb="15" eb="16">
      <t>クダ</t>
    </rPh>
    <phoneticPr fontId="2"/>
  </si>
  <si>
    <t>台所（勝手口）</t>
    <rPh sb="0" eb="2">
      <t>ダイドコロ</t>
    </rPh>
    <rPh sb="3" eb="6">
      <t>カッテグチ</t>
    </rPh>
    <phoneticPr fontId="2"/>
  </si>
  <si>
    <r>
      <t>m</t>
    </r>
    <r>
      <rPr>
        <vertAlign val="subscript"/>
        <sz val="9"/>
        <color theme="1"/>
        <rFont val="メイリオ"/>
        <family val="3"/>
        <charset val="128"/>
      </rPr>
      <t>C</t>
    </r>
    <r>
      <rPr>
        <sz val="9"/>
        <color theme="1"/>
        <rFont val="メイリオ"/>
        <family val="3"/>
        <charset val="128"/>
      </rPr>
      <t xml:space="preserve"> </t>
    </r>
    <phoneticPr fontId="2"/>
  </si>
  <si>
    <r>
      <t>m</t>
    </r>
    <r>
      <rPr>
        <vertAlign val="subscript"/>
        <sz val="9"/>
        <color theme="1"/>
        <rFont val="メイリオ"/>
        <family val="3"/>
        <charset val="128"/>
      </rPr>
      <t>H</t>
    </r>
    <r>
      <rPr>
        <sz val="9"/>
        <color theme="1"/>
        <rFont val="メイリオ"/>
        <family val="3"/>
        <charset val="128"/>
      </rPr>
      <t xml:space="preserve"> </t>
    </r>
    <phoneticPr fontId="2"/>
  </si>
  <si>
    <t>1地域</t>
    <rPh sb="1" eb="3">
      <t>チイキ</t>
    </rPh>
    <phoneticPr fontId="2"/>
  </si>
  <si>
    <t>2地域</t>
    <rPh sb="1" eb="3">
      <t>チイキ</t>
    </rPh>
    <phoneticPr fontId="2"/>
  </si>
  <si>
    <t>3地域</t>
    <rPh sb="1" eb="3">
      <t>チイキ</t>
    </rPh>
    <phoneticPr fontId="2"/>
  </si>
  <si>
    <t>4地域</t>
    <rPh sb="1" eb="3">
      <t>チイキ</t>
    </rPh>
    <phoneticPr fontId="2"/>
  </si>
  <si>
    <t>5地域</t>
    <rPh sb="1" eb="3">
      <t>チイキ</t>
    </rPh>
    <phoneticPr fontId="2"/>
  </si>
  <si>
    <t>6地域</t>
    <rPh sb="1" eb="3">
      <t>チイキ</t>
    </rPh>
    <phoneticPr fontId="2"/>
  </si>
  <si>
    <t>7地域</t>
    <rPh sb="1" eb="3">
      <t>チイキ</t>
    </rPh>
    <phoneticPr fontId="2"/>
  </si>
  <si>
    <t>8地域</t>
    <rPh sb="1" eb="3">
      <t>チイキ</t>
    </rPh>
    <phoneticPr fontId="2"/>
  </si>
  <si>
    <r>
      <t xml:space="preserve">U値
</t>
    </r>
    <r>
      <rPr>
        <sz val="8"/>
        <color theme="1"/>
        <rFont val="メイリオ"/>
        <family val="3"/>
        <charset val="128"/>
      </rPr>
      <t>[W/m</t>
    </r>
    <r>
      <rPr>
        <vertAlign val="superscript"/>
        <sz val="8"/>
        <color theme="1"/>
        <rFont val="メイリオ"/>
        <family val="3"/>
        <charset val="128"/>
      </rPr>
      <t>2</t>
    </r>
    <r>
      <rPr>
        <sz val="8"/>
        <color theme="1"/>
        <rFont val="メイリオ"/>
        <family val="3"/>
        <charset val="128"/>
      </rPr>
      <t>K]</t>
    </r>
    <rPh sb="1" eb="2">
      <t>チ</t>
    </rPh>
    <phoneticPr fontId="2"/>
  </si>
  <si>
    <r>
      <t>中空層熱抵抗
[m</t>
    </r>
    <r>
      <rPr>
        <vertAlign val="superscript"/>
        <sz val="9"/>
        <color theme="1"/>
        <rFont val="メイリオ"/>
        <family val="3"/>
        <charset val="128"/>
      </rPr>
      <t>2</t>
    </r>
    <r>
      <rPr>
        <sz val="9"/>
        <color theme="1"/>
        <rFont val="メイリオ"/>
        <family val="3"/>
        <charset val="128"/>
      </rPr>
      <t>K/W]</t>
    </r>
    <rPh sb="0" eb="2">
      <t>チュウクウ</t>
    </rPh>
    <rPh sb="2" eb="3">
      <t>ソウ</t>
    </rPh>
    <rPh sb="3" eb="4">
      <t>ネツ</t>
    </rPh>
    <rPh sb="4" eb="6">
      <t>テイコウ</t>
    </rPh>
    <phoneticPr fontId="2"/>
  </si>
  <si>
    <t>畳</t>
    <rPh sb="0" eb="1">
      <t>タタミ</t>
    </rPh>
    <phoneticPr fontId="7"/>
  </si>
  <si>
    <t>1階床（玄関と浴室を除く）</t>
    <rPh sb="1" eb="2">
      <t>カイ</t>
    </rPh>
    <rPh sb="2" eb="3">
      <t>ユカ</t>
    </rPh>
    <rPh sb="4" eb="6">
      <t>ゲンカン</t>
    </rPh>
    <rPh sb="7" eb="9">
      <t>ヨクシツ</t>
    </rPh>
    <rPh sb="10" eb="11">
      <t>ノゾ</t>
    </rPh>
    <phoneticPr fontId="2"/>
  </si>
  <si>
    <r>
      <t>U値（熱貫流率）[W/m</t>
    </r>
    <r>
      <rPr>
        <vertAlign val="superscript"/>
        <sz val="9"/>
        <color theme="1"/>
        <rFont val="メイリオ"/>
        <family val="3"/>
        <charset val="128"/>
      </rPr>
      <t>2</t>
    </r>
    <r>
      <rPr>
        <sz val="9"/>
        <color theme="1"/>
        <rFont val="メイリオ"/>
        <family val="3"/>
        <charset val="128"/>
      </rPr>
      <t>K]</t>
    </r>
    <rPh sb="1" eb="2">
      <t>チ</t>
    </rPh>
    <rPh sb="3" eb="4">
      <t>ネツ</t>
    </rPh>
    <rPh sb="4" eb="6">
      <t>カンリュウ</t>
    </rPh>
    <rPh sb="6" eb="7">
      <t>リツ</t>
    </rPh>
    <phoneticPr fontId="2"/>
  </si>
  <si>
    <t>◆表3:木造における床の面積比率</t>
    <rPh sb="1" eb="2">
      <t>ヒョウ</t>
    </rPh>
    <rPh sb="4" eb="6">
      <t>モクゾウ</t>
    </rPh>
    <rPh sb="10" eb="11">
      <t>ユカ</t>
    </rPh>
    <rPh sb="12" eb="14">
      <t>メンセキ</t>
    </rPh>
    <rPh sb="14" eb="16">
      <t>ヒリツ</t>
    </rPh>
    <phoneticPr fontId="2"/>
  </si>
  <si>
    <t>軸組構法</t>
    <rPh sb="0" eb="1">
      <t>ジク</t>
    </rPh>
    <rPh sb="1" eb="2">
      <t>グミ</t>
    </rPh>
    <rPh sb="2" eb="4">
      <t>コウホウ</t>
    </rPh>
    <phoneticPr fontId="2"/>
  </si>
  <si>
    <t>床梁工法</t>
    <rPh sb="0" eb="1">
      <t>ユカ</t>
    </rPh>
    <rPh sb="1" eb="2">
      <t>ハリ</t>
    </rPh>
    <rPh sb="2" eb="4">
      <t>コウホウ</t>
    </rPh>
    <phoneticPr fontId="2"/>
  </si>
  <si>
    <t>束立大引工法</t>
    <rPh sb="0" eb="1">
      <t>ツカ</t>
    </rPh>
    <rPh sb="1" eb="2">
      <t>タ</t>
    </rPh>
    <rPh sb="2" eb="4">
      <t>オオビ</t>
    </rPh>
    <rPh sb="4" eb="6">
      <t>コウホウ</t>
    </rPh>
    <phoneticPr fontId="2"/>
  </si>
  <si>
    <t>根太間に断熱する場合</t>
    <rPh sb="0" eb="2">
      <t>ネダ</t>
    </rPh>
    <rPh sb="2" eb="3">
      <t>カン</t>
    </rPh>
    <rPh sb="4" eb="6">
      <t>ダンネツ</t>
    </rPh>
    <rPh sb="8" eb="10">
      <t>バアイ</t>
    </rPh>
    <phoneticPr fontId="2"/>
  </si>
  <si>
    <t>大引間に断熱する場合</t>
    <rPh sb="0" eb="2">
      <t>オオビキ</t>
    </rPh>
    <rPh sb="2" eb="3">
      <t>カン</t>
    </rPh>
    <rPh sb="4" eb="6">
      <t>ダンネツ</t>
    </rPh>
    <rPh sb="8" eb="10">
      <t>バアイ</t>
    </rPh>
    <phoneticPr fontId="2"/>
  </si>
  <si>
    <t>根太間及び大引間に断熱する場合</t>
    <rPh sb="0" eb="2">
      <t>ネダ</t>
    </rPh>
    <rPh sb="2" eb="3">
      <t>カン</t>
    </rPh>
    <rPh sb="3" eb="4">
      <t>オヨ</t>
    </rPh>
    <rPh sb="5" eb="7">
      <t>オオビキ</t>
    </rPh>
    <rPh sb="7" eb="8">
      <t>カン</t>
    </rPh>
    <rPh sb="9" eb="11">
      <t>ダンネツ</t>
    </rPh>
    <rPh sb="13" eb="15">
      <t>バアイ</t>
    </rPh>
    <phoneticPr fontId="2"/>
  </si>
  <si>
    <t>剛床工法</t>
    <rPh sb="0" eb="1">
      <t>ゴウ</t>
    </rPh>
    <rPh sb="1" eb="2">
      <t>ユカ</t>
    </rPh>
    <rPh sb="2" eb="4">
      <t>コウホウ</t>
    </rPh>
    <phoneticPr fontId="2"/>
  </si>
  <si>
    <t>床梁土台同面工法</t>
    <rPh sb="0" eb="1">
      <t>ユカ</t>
    </rPh>
    <rPh sb="1" eb="2">
      <t>ハリ</t>
    </rPh>
    <rPh sb="2" eb="4">
      <t>ドダイ</t>
    </rPh>
    <rPh sb="4" eb="5">
      <t>ドウ</t>
    </rPh>
    <rPh sb="5" eb="6">
      <t>メン</t>
    </rPh>
    <rPh sb="6" eb="8">
      <t>コウホウ</t>
    </rPh>
    <phoneticPr fontId="2"/>
  </si>
  <si>
    <t>枠組壁工法</t>
    <rPh sb="0" eb="2">
      <t>ワクグ</t>
    </rPh>
    <rPh sb="2" eb="3">
      <t>カベ</t>
    </rPh>
    <rPh sb="3" eb="5">
      <t>コウホウ</t>
    </rPh>
    <phoneticPr fontId="2"/>
  </si>
  <si>
    <t>面積比率</t>
    <rPh sb="0" eb="2">
      <t>メンセキ</t>
    </rPh>
    <rPh sb="2" eb="4">
      <t>ヒリツ</t>
    </rPh>
    <phoneticPr fontId="2"/>
  </si>
  <si>
    <t>熱橋部分（軸組部分）</t>
    <rPh sb="0" eb="1">
      <t>ネツ</t>
    </rPh>
    <rPh sb="1" eb="2">
      <t>ハシ</t>
    </rPh>
    <rPh sb="2" eb="4">
      <t>ブブン</t>
    </rPh>
    <rPh sb="5" eb="6">
      <t>ジク</t>
    </rPh>
    <rPh sb="6" eb="7">
      <t>グミ</t>
    </rPh>
    <rPh sb="7" eb="9">
      <t>ブブン</t>
    </rPh>
    <phoneticPr fontId="2"/>
  </si>
  <si>
    <t>断熱部分（一般部分）</t>
    <rPh sb="0" eb="2">
      <t>ダンネツ</t>
    </rPh>
    <rPh sb="2" eb="4">
      <t>ブブン</t>
    </rPh>
    <rPh sb="5" eb="7">
      <t>イッパン</t>
    </rPh>
    <rPh sb="7" eb="9">
      <t>ブブン</t>
    </rPh>
    <phoneticPr fontId="2"/>
  </si>
  <si>
    <t>工法の種類</t>
    <rPh sb="0" eb="2">
      <t>コウホウ</t>
    </rPh>
    <rPh sb="3" eb="5">
      <t>シュルイ</t>
    </rPh>
    <phoneticPr fontId="2"/>
  </si>
  <si>
    <t>◆表4:木造における外壁の面積比率</t>
    <rPh sb="1" eb="2">
      <t>ヒョウ</t>
    </rPh>
    <rPh sb="4" eb="6">
      <t>モクゾウ</t>
    </rPh>
    <rPh sb="10" eb="12">
      <t>ガイヘキ</t>
    </rPh>
    <rPh sb="13" eb="15">
      <t>メンセキ</t>
    </rPh>
    <rPh sb="15" eb="17">
      <t>ヒリツ</t>
    </rPh>
    <phoneticPr fontId="2"/>
  </si>
  <si>
    <t>柱・間柱間に断熱する場合</t>
    <rPh sb="0" eb="1">
      <t>ハシラ</t>
    </rPh>
    <rPh sb="2" eb="4">
      <t>マバシラ</t>
    </rPh>
    <rPh sb="4" eb="5">
      <t>カン</t>
    </rPh>
    <rPh sb="6" eb="8">
      <t>ダンネツ</t>
    </rPh>
    <rPh sb="10" eb="12">
      <t>バアイ</t>
    </rPh>
    <phoneticPr fontId="2"/>
  </si>
  <si>
    <t>枠組壁構法</t>
    <rPh sb="0" eb="2">
      <t>ワクグミ</t>
    </rPh>
    <rPh sb="2" eb="3">
      <t>カベ</t>
    </rPh>
    <rPh sb="3" eb="5">
      <t>コウホウ</t>
    </rPh>
    <phoneticPr fontId="2"/>
  </si>
  <si>
    <t>たて枠間に断熱する場合</t>
    <rPh sb="2" eb="3">
      <t>ワク</t>
    </rPh>
    <rPh sb="3" eb="4">
      <t>アイダ</t>
    </rPh>
    <rPh sb="4" eb="5">
      <t>チュウカン</t>
    </rPh>
    <rPh sb="5" eb="7">
      <t>ダンネツ</t>
    </rPh>
    <rPh sb="9" eb="11">
      <t>バアイ</t>
    </rPh>
    <phoneticPr fontId="2"/>
  </si>
  <si>
    <t>◆表5:木造における天井の面積比率</t>
    <rPh sb="1" eb="2">
      <t>ヒョウ</t>
    </rPh>
    <rPh sb="4" eb="6">
      <t>モクゾウ</t>
    </rPh>
    <rPh sb="10" eb="12">
      <t>テンジョウ</t>
    </rPh>
    <rPh sb="13" eb="15">
      <t>メンセキ</t>
    </rPh>
    <rPh sb="15" eb="17">
      <t>ヒリツ</t>
    </rPh>
    <phoneticPr fontId="2"/>
  </si>
  <si>
    <t>熱橋部分</t>
    <rPh sb="0" eb="1">
      <t>ネツ</t>
    </rPh>
    <rPh sb="1" eb="2">
      <t>ハシ</t>
    </rPh>
    <rPh sb="2" eb="4">
      <t>ブブン</t>
    </rPh>
    <phoneticPr fontId="2"/>
  </si>
  <si>
    <t>断熱部分</t>
    <rPh sb="0" eb="2">
      <t>ダンネツ</t>
    </rPh>
    <rPh sb="2" eb="4">
      <t>ブブン</t>
    </rPh>
    <phoneticPr fontId="2"/>
  </si>
  <si>
    <t>桁・梁間に断熱する場合</t>
    <rPh sb="0" eb="1">
      <t>ケタ</t>
    </rPh>
    <rPh sb="2" eb="4">
      <t>ハリマ</t>
    </rPh>
    <rPh sb="5" eb="7">
      <t>ダンネツ</t>
    </rPh>
    <rPh sb="9" eb="11">
      <t>バアイ</t>
    </rPh>
    <phoneticPr fontId="2"/>
  </si>
  <si>
    <t>◆表6:木造における屋根の面積比率</t>
    <rPh sb="1" eb="2">
      <t>ヒョウ</t>
    </rPh>
    <rPh sb="4" eb="6">
      <t>モクゾウ</t>
    </rPh>
    <rPh sb="10" eb="12">
      <t>ヤネ</t>
    </rPh>
    <rPh sb="13" eb="15">
      <t>メンセキ</t>
    </rPh>
    <rPh sb="15" eb="17">
      <t>ヒリツ</t>
    </rPh>
    <phoneticPr fontId="2"/>
  </si>
  <si>
    <t>出典：平成28年省エネルギー基準に準拠したエネルギー消費性能の評価に関する技術情報（住宅）、国立研究開発法人建築研究所</t>
    <rPh sb="0" eb="2">
      <t>シュッテン</t>
    </rPh>
    <rPh sb="3" eb="5">
      <t>ヘイセイ</t>
    </rPh>
    <rPh sb="7" eb="8">
      <t>ネン</t>
    </rPh>
    <rPh sb="8" eb="9">
      <t>ショウ</t>
    </rPh>
    <rPh sb="14" eb="16">
      <t>キジュン</t>
    </rPh>
    <rPh sb="17" eb="19">
      <t>ジュンキョ</t>
    </rPh>
    <rPh sb="26" eb="28">
      <t>ショウヒ</t>
    </rPh>
    <rPh sb="28" eb="30">
      <t>セイノウ</t>
    </rPh>
    <rPh sb="31" eb="33">
      <t>ヒョウカ</t>
    </rPh>
    <rPh sb="34" eb="35">
      <t>カン</t>
    </rPh>
    <rPh sb="37" eb="39">
      <t>ギジュツ</t>
    </rPh>
    <rPh sb="39" eb="41">
      <t>ジョウホウ</t>
    </rPh>
    <rPh sb="42" eb="44">
      <t>ジュウタク</t>
    </rPh>
    <rPh sb="46" eb="48">
      <t>コクリツ</t>
    </rPh>
    <rPh sb="48" eb="50">
      <t>ケンキュウ</t>
    </rPh>
    <rPh sb="50" eb="52">
      <t>カイハツ</t>
    </rPh>
    <rPh sb="52" eb="54">
      <t>ホウジン</t>
    </rPh>
    <rPh sb="54" eb="56">
      <t>ケンチク</t>
    </rPh>
    <rPh sb="56" eb="59">
      <t>ケンキュウジョ</t>
    </rPh>
    <phoneticPr fontId="2"/>
  </si>
  <si>
    <t>たる木間に断熱する場合</t>
    <rPh sb="2" eb="3">
      <t>キ</t>
    </rPh>
    <rPh sb="3" eb="4">
      <t>カン</t>
    </rPh>
    <rPh sb="5" eb="7">
      <t>ダンネツ</t>
    </rPh>
    <rPh sb="9" eb="11">
      <t>バアイ</t>
    </rPh>
    <phoneticPr fontId="2"/>
  </si>
  <si>
    <t>火山性ガラス質複層板</t>
    <rPh sb="0" eb="3">
      <t>カザンセイ</t>
    </rPh>
    <rPh sb="6" eb="7">
      <t>シツ</t>
    </rPh>
    <rPh sb="7" eb="9">
      <t>フクソウ</t>
    </rPh>
    <rPh sb="9" eb="10">
      <t>イタ</t>
    </rPh>
    <phoneticPr fontId="7"/>
  </si>
  <si>
    <t>建材畳床（K、N形）</t>
    <rPh sb="0" eb="2">
      <t>ケンザイ</t>
    </rPh>
    <rPh sb="2" eb="3">
      <t>タタミ</t>
    </rPh>
    <rPh sb="3" eb="4">
      <t>ユカ</t>
    </rPh>
    <rPh sb="8" eb="9">
      <t>カタチ</t>
    </rPh>
    <phoneticPr fontId="7"/>
  </si>
  <si>
    <t>建材畳床（Ⅲ形）</t>
    <rPh sb="0" eb="2">
      <t>ケンザイ</t>
    </rPh>
    <rPh sb="2" eb="3">
      <t>タタミ</t>
    </rPh>
    <rPh sb="3" eb="4">
      <t>ユカ</t>
    </rPh>
    <rPh sb="6" eb="7">
      <t>カタチ</t>
    </rPh>
    <phoneticPr fontId="7"/>
  </si>
  <si>
    <t>稲わら畳床</t>
    <rPh sb="0" eb="1">
      <t>イナ</t>
    </rPh>
    <rPh sb="3" eb="4">
      <t>タタミ</t>
    </rPh>
    <rPh sb="4" eb="5">
      <t>ユカ</t>
    </rPh>
    <phoneticPr fontId="7"/>
  </si>
  <si>
    <t>ポリスチレンフォームサンドイッチ稲わら畳床</t>
    <rPh sb="16" eb="17">
      <t>イナ</t>
    </rPh>
    <rPh sb="19" eb="20">
      <t>タタミ</t>
    </rPh>
    <rPh sb="20" eb="21">
      <t>ユカ</t>
    </rPh>
    <phoneticPr fontId="7"/>
  </si>
  <si>
    <t>タタミボードサンドイッチ稲わら畳床</t>
    <rPh sb="12" eb="13">
      <t>イナ</t>
    </rPh>
    <rPh sb="15" eb="16">
      <t>タタミ</t>
    </rPh>
    <rPh sb="16" eb="17">
      <t>ユカ</t>
    </rPh>
    <phoneticPr fontId="7"/>
  </si>
  <si>
    <t>建材畳床（Ⅰ形）</t>
    <rPh sb="0" eb="2">
      <t>ケンザイ</t>
    </rPh>
    <rPh sb="2" eb="3">
      <t>タタミ</t>
    </rPh>
    <rPh sb="3" eb="4">
      <t>ユカ</t>
    </rPh>
    <rPh sb="6" eb="7">
      <t>カタチ</t>
    </rPh>
    <phoneticPr fontId="7"/>
  </si>
  <si>
    <t>建材畳床（Ⅱ形）</t>
    <rPh sb="0" eb="2">
      <t>ケンザイ</t>
    </rPh>
    <rPh sb="2" eb="3">
      <t>タタミ</t>
    </rPh>
    <rPh sb="3" eb="4">
      <t>ユカ</t>
    </rPh>
    <rPh sb="6" eb="7">
      <t>カタチ</t>
    </rPh>
    <phoneticPr fontId="7"/>
  </si>
  <si>
    <t>0.8 けい酸カルシウム板</t>
    <rPh sb="6" eb="7">
      <t>サン</t>
    </rPh>
    <rPh sb="12" eb="13">
      <t>バン</t>
    </rPh>
    <phoneticPr fontId="7"/>
  </si>
  <si>
    <t>1.0 けい酸カルシウム板</t>
    <rPh sb="6" eb="7">
      <t>サン</t>
    </rPh>
    <rPh sb="12" eb="13">
      <t>バン</t>
    </rPh>
    <phoneticPr fontId="7"/>
  </si>
  <si>
    <t>フェノールフォーム保温板1種1号</t>
    <rPh sb="9" eb="11">
      <t>ホオン</t>
    </rPh>
    <rPh sb="11" eb="12">
      <t>バン</t>
    </rPh>
    <rPh sb="13" eb="14">
      <t>シュ</t>
    </rPh>
    <rPh sb="15" eb="16">
      <t>ゴウ</t>
    </rPh>
    <phoneticPr fontId="7"/>
  </si>
  <si>
    <t>フェノールフォーム保温板1種2号</t>
    <rPh sb="9" eb="11">
      <t>ホオン</t>
    </rPh>
    <rPh sb="11" eb="12">
      <t>バン</t>
    </rPh>
    <rPh sb="13" eb="14">
      <t>シュ</t>
    </rPh>
    <rPh sb="15" eb="16">
      <t>ゴウ</t>
    </rPh>
    <phoneticPr fontId="7"/>
  </si>
  <si>
    <t>表面熱伝達抵抗は部位ごとの一般的な値に従って下さい（付録シート表2参照）。各種材料の一般的な熱物性値は付録シート表1を参照して下さい。</t>
    <rPh sb="0" eb="2">
      <t>ヒョウメン</t>
    </rPh>
    <rPh sb="2" eb="5">
      <t>ネツデンタツ</t>
    </rPh>
    <rPh sb="5" eb="7">
      <t>テイコウ</t>
    </rPh>
    <rPh sb="8" eb="10">
      <t>ブイ</t>
    </rPh>
    <rPh sb="13" eb="16">
      <t>イッパンテキ</t>
    </rPh>
    <rPh sb="17" eb="18">
      <t>アタイ</t>
    </rPh>
    <rPh sb="19" eb="20">
      <t>シタガ</t>
    </rPh>
    <rPh sb="22" eb="23">
      <t>クダ</t>
    </rPh>
    <rPh sb="26" eb="28">
      <t>フロク</t>
    </rPh>
    <rPh sb="31" eb="32">
      <t>ヒョウ</t>
    </rPh>
    <rPh sb="33" eb="35">
      <t>サンショウ</t>
    </rPh>
    <rPh sb="37" eb="39">
      <t>カクシュ</t>
    </rPh>
    <rPh sb="39" eb="41">
      <t>ザイリョウ</t>
    </rPh>
    <rPh sb="42" eb="45">
      <t>イッパンテキ</t>
    </rPh>
    <rPh sb="46" eb="47">
      <t>ネツ</t>
    </rPh>
    <rPh sb="47" eb="49">
      <t>ブッセイ</t>
    </rPh>
    <rPh sb="49" eb="50">
      <t>チ</t>
    </rPh>
    <rPh sb="51" eb="53">
      <t>フロク</t>
    </rPh>
    <rPh sb="56" eb="57">
      <t>ヒョウ</t>
    </rPh>
    <rPh sb="59" eb="61">
      <t>サンショウ</t>
    </rPh>
    <rPh sb="63" eb="64">
      <t>クダ</t>
    </rPh>
    <phoneticPr fontId="2"/>
  </si>
  <si>
    <t>ガラスの仕様</t>
    <rPh sb="4" eb="6">
      <t>シヨウ</t>
    </rPh>
    <phoneticPr fontId="2"/>
  </si>
  <si>
    <t>2枚以上のガラス表面にLow-E膜を使用したLow-E三層複層ガラス</t>
    <rPh sb="1" eb="2">
      <t>マイ</t>
    </rPh>
    <rPh sb="2" eb="4">
      <t>イジョウ</t>
    </rPh>
    <rPh sb="8" eb="10">
      <t>ヒョウメン</t>
    </rPh>
    <rPh sb="16" eb="17">
      <t>マク</t>
    </rPh>
    <rPh sb="18" eb="20">
      <t>シヨウ</t>
    </rPh>
    <rPh sb="27" eb="29">
      <t>サンソウ</t>
    </rPh>
    <rPh sb="29" eb="31">
      <t>フクソウ</t>
    </rPh>
    <phoneticPr fontId="2"/>
  </si>
  <si>
    <t>Low-E三層複層ガラス</t>
    <rPh sb="5" eb="7">
      <t>サンソウ</t>
    </rPh>
    <rPh sb="7" eb="9">
      <t>フクソウ</t>
    </rPh>
    <phoneticPr fontId="2"/>
  </si>
  <si>
    <t>RC造および鉄骨造の住宅シリーズで応募される場合、線熱貫流率を考慮する必要があるため、このファイルでは計算できません。その場合の提出資料は事務局にお問い合わせ下さい。</t>
    <rPh sb="2" eb="3">
      <t>ゾウ</t>
    </rPh>
    <rPh sb="6" eb="9">
      <t>テッコツゾウ</t>
    </rPh>
    <rPh sb="10" eb="12">
      <t>ジュウタク</t>
    </rPh>
    <rPh sb="17" eb="19">
      <t>オウボ</t>
    </rPh>
    <rPh sb="22" eb="24">
      <t>バアイ</t>
    </rPh>
    <rPh sb="25" eb="26">
      <t>セン</t>
    </rPh>
    <rPh sb="26" eb="27">
      <t>ネツ</t>
    </rPh>
    <rPh sb="27" eb="29">
      <t>カンリュウ</t>
    </rPh>
    <rPh sb="29" eb="30">
      <t>リツ</t>
    </rPh>
    <rPh sb="31" eb="33">
      <t>コウリョ</t>
    </rPh>
    <rPh sb="35" eb="37">
      <t>ヒツヨウ</t>
    </rPh>
    <rPh sb="51" eb="53">
      <t>ケイサン</t>
    </rPh>
    <rPh sb="61" eb="63">
      <t>バアイ</t>
    </rPh>
    <rPh sb="64" eb="66">
      <t>テイシュツ</t>
    </rPh>
    <rPh sb="66" eb="68">
      <t>シリョウ</t>
    </rPh>
    <rPh sb="69" eb="72">
      <t>ジムキョク</t>
    </rPh>
    <rPh sb="74" eb="75">
      <t>ト</t>
    </rPh>
    <rPh sb="76" eb="77">
      <t>ア</t>
    </rPh>
    <rPh sb="79" eb="80">
      <t>クダ</t>
    </rPh>
    <phoneticPr fontId="2"/>
  </si>
  <si>
    <t>LΨH</t>
    <phoneticPr fontId="2"/>
  </si>
  <si>
    <t>エネルギー消費性能計算プログラム（住宅版）は例年10月1日前後にバージョンアップが行われるため、この資料も修正を行う可能性があります。10月5日頃を目途に、再度この資料をダウンロードして最新版を使用して下さい。</t>
    <rPh sb="22" eb="24">
      <t>レイネン</t>
    </rPh>
    <rPh sb="26" eb="27">
      <t>ガツ</t>
    </rPh>
    <rPh sb="28" eb="29">
      <t>ニチ</t>
    </rPh>
    <rPh sb="29" eb="31">
      <t>ゼンゴ</t>
    </rPh>
    <rPh sb="41" eb="42">
      <t>オコナ</t>
    </rPh>
    <rPh sb="50" eb="52">
      <t>シリョウ</t>
    </rPh>
    <rPh sb="53" eb="55">
      <t>シュウセイ</t>
    </rPh>
    <rPh sb="56" eb="57">
      <t>オコナ</t>
    </rPh>
    <rPh sb="58" eb="61">
      <t>カノウセイ</t>
    </rPh>
    <rPh sb="69" eb="70">
      <t>ガツ</t>
    </rPh>
    <rPh sb="71" eb="72">
      <t>ニチ</t>
    </rPh>
    <rPh sb="72" eb="73">
      <t>コロ</t>
    </rPh>
    <rPh sb="74" eb="76">
      <t>メド</t>
    </rPh>
    <rPh sb="78" eb="80">
      <t>サイド</t>
    </rPh>
    <rPh sb="82" eb="84">
      <t>シリョウ</t>
    </rPh>
    <rPh sb="93" eb="96">
      <t>サイシンバン</t>
    </rPh>
    <rPh sb="97" eb="99">
      <t>シヨウ</t>
    </rPh>
    <rPh sb="101" eb="102">
      <t>クダ</t>
    </rPh>
    <phoneticPr fontId="2"/>
  </si>
  <si>
    <t>プルダウンから該当するものを選択して下さい。連動して他のセルの色が変わる箇所があります。</t>
    <rPh sb="7" eb="9">
      <t>ガイトウ</t>
    </rPh>
    <rPh sb="14" eb="16">
      <t>センタク</t>
    </rPh>
    <rPh sb="18" eb="19">
      <t>クダ</t>
    </rPh>
    <rPh sb="22" eb="24">
      <t>レンドウ</t>
    </rPh>
    <rPh sb="26" eb="27">
      <t>ホカ</t>
    </rPh>
    <rPh sb="31" eb="32">
      <t>イロ</t>
    </rPh>
    <rPh sb="33" eb="34">
      <t>カ</t>
    </rPh>
    <rPh sb="36" eb="38">
      <t>カショ</t>
    </rPh>
    <phoneticPr fontId="2"/>
  </si>
  <si>
    <r>
      <t>単位[m</t>
    </r>
    <r>
      <rPr>
        <vertAlign val="superscript"/>
        <sz val="9"/>
        <color theme="1"/>
        <rFont val="メイリオ"/>
        <family val="3"/>
        <charset val="128"/>
      </rPr>
      <t>2</t>
    </r>
    <r>
      <rPr>
        <sz val="9"/>
        <color theme="1"/>
        <rFont val="メイリオ"/>
        <family val="3"/>
        <charset val="128"/>
      </rPr>
      <t>K/W]</t>
    </r>
    <rPh sb="0" eb="2">
      <t>タンイ</t>
    </rPh>
    <phoneticPr fontId="2"/>
  </si>
  <si>
    <t>吹付け硬質ウレタンフォーム A種1H</t>
    <rPh sb="0" eb="1">
      <t>フ</t>
    </rPh>
    <rPh sb="1" eb="2">
      <t>ツ</t>
    </rPh>
    <rPh sb="3" eb="5">
      <t>コウシツ</t>
    </rPh>
    <rPh sb="15" eb="16">
      <t>シュ</t>
    </rPh>
    <phoneticPr fontId="7"/>
  </si>
  <si>
    <t>熱抵抗小計、熱貫流率、平均熱貫流率のセルは数式が入力されています。特に必要な場合を除き編集しないで下さい。材料の行数が不足する場合は行を挿入してかまいませんが、熱抵抗の合計範囲に誤りがないか確認して下さい。</t>
    <rPh sb="0" eb="1">
      <t>ネツ</t>
    </rPh>
    <rPh sb="1" eb="3">
      <t>テイコウ</t>
    </rPh>
    <rPh sb="3" eb="5">
      <t>ショウケイ</t>
    </rPh>
    <rPh sb="6" eb="7">
      <t>ネツ</t>
    </rPh>
    <rPh sb="7" eb="9">
      <t>カンリュウ</t>
    </rPh>
    <rPh sb="9" eb="10">
      <t>リツ</t>
    </rPh>
    <rPh sb="11" eb="13">
      <t>ヘイキン</t>
    </rPh>
    <rPh sb="13" eb="14">
      <t>ネツ</t>
    </rPh>
    <rPh sb="14" eb="16">
      <t>カンリュウ</t>
    </rPh>
    <rPh sb="16" eb="17">
      <t>リツ</t>
    </rPh>
    <rPh sb="21" eb="23">
      <t>スウシキ</t>
    </rPh>
    <rPh sb="24" eb="26">
      <t>ニュウリョク</t>
    </rPh>
    <rPh sb="33" eb="34">
      <t>トク</t>
    </rPh>
    <rPh sb="35" eb="37">
      <t>ヒツヨウ</t>
    </rPh>
    <rPh sb="38" eb="40">
      <t>バアイ</t>
    </rPh>
    <rPh sb="41" eb="42">
      <t>ノゾ</t>
    </rPh>
    <rPh sb="43" eb="45">
      <t>ヘンシュウ</t>
    </rPh>
    <rPh sb="49" eb="50">
      <t>クダ</t>
    </rPh>
    <rPh sb="53" eb="55">
      <t>ザイリョウ</t>
    </rPh>
    <rPh sb="56" eb="57">
      <t>ギョウ</t>
    </rPh>
    <rPh sb="57" eb="58">
      <t>スウ</t>
    </rPh>
    <rPh sb="59" eb="61">
      <t>フソク</t>
    </rPh>
    <rPh sb="63" eb="65">
      <t>バアイ</t>
    </rPh>
    <rPh sb="66" eb="67">
      <t>ギョウ</t>
    </rPh>
    <rPh sb="68" eb="70">
      <t>ソウニュウ</t>
    </rPh>
    <rPh sb="80" eb="81">
      <t>ネツ</t>
    </rPh>
    <rPh sb="81" eb="83">
      <t>テイコウ</t>
    </rPh>
    <rPh sb="84" eb="86">
      <t>ゴウケイ</t>
    </rPh>
    <rPh sb="86" eb="88">
      <t>ハンイ</t>
    </rPh>
    <rPh sb="89" eb="90">
      <t>アヤマ</t>
    </rPh>
    <rPh sb="95" eb="97">
      <t>カクニン</t>
    </rPh>
    <rPh sb="99" eb="100">
      <t>クダ</t>
    </rPh>
    <phoneticPr fontId="2"/>
  </si>
  <si>
    <t>直交集成板（CLTパネル）</t>
    <rPh sb="0" eb="2">
      <t>チョッコウ</t>
    </rPh>
    <rPh sb="2" eb="5">
      <t>シュウセイバン</t>
    </rPh>
    <phoneticPr fontId="7"/>
  </si>
  <si>
    <t>外気に直接接する場合</t>
    <rPh sb="0" eb="2">
      <t>ガイキ</t>
    </rPh>
    <rPh sb="3" eb="5">
      <t>チョクセツ</t>
    </rPh>
    <rPh sb="5" eb="6">
      <t>セッ</t>
    </rPh>
    <rPh sb="8" eb="10">
      <t>バアイ</t>
    </rPh>
    <phoneticPr fontId="2"/>
  </si>
  <si>
    <t>それ以外の場合</t>
    <rPh sb="2" eb="4">
      <t>イガイ</t>
    </rPh>
    <rPh sb="5" eb="7">
      <t>バアイ</t>
    </rPh>
    <phoneticPr fontId="2"/>
  </si>
  <si>
    <t>（通気層等）</t>
    <rPh sb="1" eb="3">
      <t>ツウキ</t>
    </rPh>
    <rPh sb="3" eb="4">
      <t>ソウ</t>
    </rPh>
    <rPh sb="4" eb="5">
      <t>トウ</t>
    </rPh>
    <phoneticPr fontId="2"/>
  </si>
  <si>
    <t>（小屋裏等）</t>
    <rPh sb="1" eb="3">
      <t>コヤ</t>
    </rPh>
    <rPh sb="3" eb="4">
      <t>ウラ</t>
    </rPh>
    <rPh sb="4" eb="5">
      <t>トウ</t>
    </rPh>
    <phoneticPr fontId="2"/>
  </si>
  <si>
    <t>（床裏等）</t>
    <rPh sb="1" eb="2">
      <t>ユカ</t>
    </rPh>
    <rPh sb="2" eb="3">
      <t>ウラ</t>
    </rPh>
    <rPh sb="3" eb="4">
      <t>トウ</t>
    </rPh>
    <phoneticPr fontId="2"/>
  </si>
  <si>
    <r>
      <t>暖房期
日射熱
取得量
Aη</t>
    </r>
    <r>
      <rPr>
        <vertAlign val="subscript"/>
        <sz val="9"/>
        <color theme="1"/>
        <rFont val="メイリオ"/>
        <family val="3"/>
        <charset val="128"/>
      </rPr>
      <t>H</t>
    </r>
    <r>
      <rPr>
        <sz val="9"/>
        <color theme="1"/>
        <rFont val="メイリオ"/>
        <family val="3"/>
        <charset val="128"/>
      </rPr>
      <t>ν</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</si>
  <si>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r>
      <t>日射熱
取得率
η</t>
    </r>
    <r>
      <rPr>
        <vertAlign val="subscript"/>
        <sz val="9"/>
        <color theme="1"/>
        <rFont val="メイリオ"/>
        <family val="3"/>
        <charset val="128"/>
      </rPr>
      <t>H</t>
    </r>
    <r>
      <rPr>
        <sz val="9"/>
        <color theme="1"/>
        <rFont val="メイリオ"/>
        <family val="3"/>
        <charset val="128"/>
      </rPr>
      <t>, η</t>
    </r>
    <r>
      <rPr>
        <vertAlign val="subscript"/>
        <sz val="9"/>
        <color theme="1"/>
        <rFont val="メイリオ"/>
        <family val="3"/>
        <charset val="128"/>
      </rPr>
      <t>C</t>
    </r>
    <rPh sb="0" eb="2">
      <t>ニッシャ</t>
    </rPh>
    <rPh sb="2" eb="3">
      <t>ネツ</t>
    </rPh>
    <rPh sb="4" eb="7">
      <t>シュトクリツ</t>
    </rPh>
    <phoneticPr fontId="2"/>
  </si>
  <si>
    <r>
      <t>日射熱
取得率
η</t>
    </r>
    <r>
      <rPr>
        <vertAlign val="subscript"/>
        <sz val="9"/>
        <color theme="1"/>
        <rFont val="メイリオ"/>
        <family val="3"/>
        <charset val="128"/>
      </rPr>
      <t>H</t>
    </r>
    <r>
      <rPr>
        <sz val="9"/>
        <color theme="1"/>
        <rFont val="メイリオ"/>
        <family val="3"/>
        <charset val="128"/>
      </rPr>
      <t xml:space="preserve"> , η</t>
    </r>
    <r>
      <rPr>
        <vertAlign val="subscript"/>
        <sz val="9"/>
        <color theme="1"/>
        <rFont val="メイリオ"/>
        <family val="3"/>
        <charset val="128"/>
      </rPr>
      <t>C</t>
    </r>
    <rPh sb="0" eb="2">
      <t>ニッシャ</t>
    </rPh>
    <rPh sb="2" eb="3">
      <t>ネツ</t>
    </rPh>
    <rPh sb="4" eb="7">
      <t>シュトクリツ</t>
    </rPh>
    <phoneticPr fontId="2"/>
  </si>
  <si>
    <r>
      <t>冷房期
日射熱
取得量
Aη</t>
    </r>
    <r>
      <rPr>
        <vertAlign val="subscript"/>
        <sz val="9"/>
        <color theme="1"/>
        <rFont val="メイリオ"/>
        <family val="3"/>
        <charset val="128"/>
      </rPr>
      <t>C</t>
    </r>
    <r>
      <rPr>
        <sz val="9"/>
        <color theme="1"/>
        <rFont val="メイリオ"/>
        <family val="3"/>
        <charset val="128"/>
      </rPr>
      <t>ν</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</si>
  <si>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垂直面
日射熱
取得率
η</t>
    </r>
    <r>
      <rPr>
        <vertAlign val="subscript"/>
        <sz val="9"/>
        <color theme="1"/>
        <rFont val="メイリオ"/>
        <family val="3"/>
        <charset val="128"/>
      </rPr>
      <t>d</t>
    </r>
    <rPh sb="0" eb="3">
      <t>スイチョクメン</t>
    </rPh>
    <rPh sb="4" eb="6">
      <t>ニッシャ</t>
    </rPh>
    <rPh sb="6" eb="7">
      <t>ネツ</t>
    </rPh>
    <rPh sb="8" eb="11">
      <t>シュトクリツ</t>
    </rPh>
    <phoneticPr fontId="2"/>
  </si>
  <si>
    <r>
      <t>暖房期
取得日射
補正係数
f</t>
    </r>
    <r>
      <rPr>
        <vertAlign val="subscript"/>
        <sz val="9"/>
        <color theme="1"/>
        <rFont val="メイリオ"/>
        <family val="3"/>
        <charset val="128"/>
      </rPr>
      <t>H</t>
    </r>
    <rPh sb="0" eb="2">
      <t>ダンボウ</t>
    </rPh>
    <rPh sb="2" eb="3">
      <t>キ</t>
    </rPh>
    <rPh sb="4" eb="6">
      <t>シュトク</t>
    </rPh>
    <rPh sb="6" eb="8">
      <t>ニッシャ</t>
    </rPh>
    <rPh sb="9" eb="11">
      <t>ホセイ</t>
    </rPh>
    <rPh sb="11" eb="13">
      <t>ケイスウ</t>
    </rPh>
    <phoneticPr fontId="2"/>
  </si>
  <si>
    <r>
      <t>冷房期
取得日射
補正係数
f</t>
    </r>
    <r>
      <rPr>
        <vertAlign val="subscript"/>
        <sz val="9"/>
        <color theme="1"/>
        <rFont val="メイリオ"/>
        <family val="3"/>
        <charset val="128"/>
      </rPr>
      <t>C</t>
    </r>
    <rPh sb="0" eb="2">
      <t>レイボウ</t>
    </rPh>
    <rPh sb="2" eb="3">
      <t>キ</t>
    </rPh>
    <rPh sb="4" eb="6">
      <t>シュトク</t>
    </rPh>
    <rPh sb="6" eb="8">
      <t>ニッシャ</t>
    </rPh>
    <rPh sb="9" eb="11">
      <t>ホセイ</t>
    </rPh>
    <rPh sb="11" eb="13">
      <t>ケイスウ</t>
    </rPh>
    <phoneticPr fontId="2"/>
  </si>
  <si>
    <t>三層複層</t>
    <rPh sb="0" eb="2">
      <t>サンソウ</t>
    </rPh>
    <rPh sb="2" eb="4">
      <t>フクソウ</t>
    </rPh>
    <phoneticPr fontId="2"/>
  </si>
  <si>
    <t>日射取得型</t>
    <rPh sb="0" eb="2">
      <t>ニッシャ</t>
    </rPh>
    <rPh sb="2" eb="4">
      <t>シュトク</t>
    </rPh>
    <rPh sb="4" eb="5">
      <t>ガタ</t>
    </rPh>
    <phoneticPr fontId="2"/>
  </si>
  <si>
    <t>日射遮蔽型</t>
    <rPh sb="0" eb="2">
      <t>ニッシャ</t>
    </rPh>
    <rPh sb="2" eb="4">
      <t>シャヘイ</t>
    </rPh>
    <rPh sb="4" eb="5">
      <t>ガタ</t>
    </rPh>
    <phoneticPr fontId="2"/>
  </si>
  <si>
    <t>垂直面日射熱取得率ηd</t>
    <rPh sb="0" eb="3">
      <t>スイチョクメン</t>
    </rPh>
    <rPh sb="3" eb="9">
      <t>ニッシャネツシュトクリツ</t>
    </rPh>
    <phoneticPr fontId="2"/>
  </si>
  <si>
    <t>付属部材
なし</t>
    <rPh sb="0" eb="2">
      <t>フゾク</t>
    </rPh>
    <rPh sb="2" eb="4">
      <t>ブザイ</t>
    </rPh>
    <phoneticPr fontId="2"/>
  </si>
  <si>
    <t>和障子</t>
    <rPh sb="0" eb="3">
      <t>ワショウジ</t>
    </rPh>
    <phoneticPr fontId="2"/>
  </si>
  <si>
    <t>外付け
ブラインド</t>
    <rPh sb="0" eb="2">
      <t>ソトヅ</t>
    </rPh>
    <phoneticPr fontId="2"/>
  </si>
  <si>
    <t>三層複層ガラス</t>
    <rPh sb="0" eb="2">
      <t>サンソウ</t>
    </rPh>
    <rPh sb="2" eb="4">
      <t>フクソウ</t>
    </rPh>
    <phoneticPr fontId="2"/>
  </si>
  <si>
    <t>Low-E二層複層ガラス</t>
    <rPh sb="5" eb="7">
      <t>ニソウ</t>
    </rPh>
    <rPh sb="7" eb="9">
      <t>フクソウ</t>
    </rPh>
    <phoneticPr fontId="2"/>
  </si>
  <si>
    <t>二層複層ガラス</t>
    <rPh sb="0" eb="2">
      <t>ニソウ</t>
    </rPh>
    <rPh sb="2" eb="4">
      <t>フクソウ</t>
    </rPh>
    <phoneticPr fontId="2"/>
  </si>
  <si>
    <t>単板ガラス2枚を組み合わせたもの</t>
    <rPh sb="0" eb="2">
      <t>タンバン</t>
    </rPh>
    <rPh sb="6" eb="7">
      <t>マイ</t>
    </rPh>
    <rPh sb="8" eb="9">
      <t>ク</t>
    </rPh>
    <rPh sb="10" eb="11">
      <t>ア</t>
    </rPh>
    <phoneticPr fontId="2"/>
  </si>
  <si>
    <t>二層複層</t>
    <rPh sb="0" eb="2">
      <t>ニソウ</t>
    </rPh>
    <rPh sb="2" eb="4">
      <t>フクソウ</t>
    </rPh>
    <phoneticPr fontId="2"/>
  </si>
  <si>
    <t>詳細は上記技術情報サイト（http://www.kenken.go.jp/becc/house.html）の「2.エネルギー消費性能の算定方法 - 2.1算定方法 - 第三章 暖冷房負荷と外皮性能」などの公開資料を参照して下さい。</t>
    <rPh sb="0" eb="2">
      <t>ショウサイ</t>
    </rPh>
    <rPh sb="5" eb="7">
      <t>ギジュツ</t>
    </rPh>
    <rPh sb="7" eb="9">
      <t>ジョウホウ</t>
    </rPh>
    <rPh sb="62" eb="64">
      <t>ショウヒ</t>
    </rPh>
    <rPh sb="64" eb="66">
      <t>セイノウ</t>
    </rPh>
    <rPh sb="67" eb="69">
      <t>サンテイ</t>
    </rPh>
    <rPh sb="69" eb="71">
      <t>ホウホウ</t>
    </rPh>
    <rPh sb="77" eb="79">
      <t>サンテイ</t>
    </rPh>
    <rPh sb="79" eb="81">
      <t>ホウホウ</t>
    </rPh>
    <rPh sb="84" eb="85">
      <t>ダイ</t>
    </rPh>
    <rPh sb="85" eb="87">
      <t>サンショウ</t>
    </rPh>
    <rPh sb="88" eb="93">
      <t>ダンレイボウフカ</t>
    </rPh>
    <rPh sb="94" eb="96">
      <t>ガイヒ</t>
    </rPh>
    <rPh sb="96" eb="98">
      <t>セイノウ</t>
    </rPh>
    <rPh sb="102" eb="104">
      <t>コウカイ</t>
    </rPh>
    <rPh sb="104" eb="106">
      <t>シリョウ</t>
    </rPh>
    <rPh sb="107" eb="109">
      <t>サンショウ</t>
    </rPh>
    <rPh sb="111" eb="112">
      <t>クダ</t>
    </rPh>
    <phoneticPr fontId="2"/>
  </si>
  <si>
    <t>Error：外壁U値（G8～G19セル）に空欄があります</t>
    <rPh sb="6" eb="8">
      <t>ガイヘキ</t>
    </rPh>
    <rPh sb="9" eb="10">
      <t>チ</t>
    </rPh>
    <rPh sb="21" eb="23">
      <t>クウラン</t>
    </rPh>
    <phoneticPr fontId="2"/>
  </si>
  <si>
    <t>Error：屋根U値（G45～G47セル）に空欄があります</t>
    <rPh sb="6" eb="8">
      <t>ヤネ</t>
    </rPh>
    <rPh sb="9" eb="10">
      <t>チ</t>
    </rPh>
    <rPh sb="22" eb="24">
      <t>クウラン</t>
    </rPh>
    <phoneticPr fontId="2"/>
  </si>
  <si>
    <t>Error：屋根断熱の場合の外壁（妻壁）U値（G49～G54セル）に空欄があります</t>
    <rPh sb="6" eb="8">
      <t>ヤネ</t>
    </rPh>
    <rPh sb="8" eb="10">
      <t>ダンネツ</t>
    </rPh>
    <rPh sb="11" eb="13">
      <t>バアイ</t>
    </rPh>
    <rPh sb="14" eb="16">
      <t>ガイヘキ</t>
    </rPh>
    <rPh sb="17" eb="19">
      <t>ツマカベ</t>
    </rPh>
    <rPh sb="21" eb="22">
      <t>チ</t>
    </rPh>
    <rPh sb="34" eb="36">
      <t>クウラン</t>
    </rPh>
    <phoneticPr fontId="2"/>
  </si>
  <si>
    <t>面材で密閉された通気層</t>
    <rPh sb="0" eb="2">
      <t>メンザイ</t>
    </rPh>
    <rPh sb="3" eb="5">
      <t>ミッペイ</t>
    </rPh>
    <rPh sb="8" eb="11">
      <t>ツウキソウ</t>
    </rPh>
    <phoneticPr fontId="7"/>
  </si>
  <si>
    <t>せっこうプラスター</t>
    <phoneticPr fontId="7"/>
  </si>
  <si>
    <t>せっこうボード（GB-S、GB-F）</t>
    <phoneticPr fontId="7"/>
  </si>
  <si>
    <t>せっこうボード（GB-R-Hなど）</t>
    <phoneticPr fontId="7"/>
  </si>
  <si>
    <t>しっくい</t>
    <phoneticPr fontId="7"/>
  </si>
  <si>
    <t>ガラス</t>
    <phoneticPr fontId="7"/>
  </si>
  <si>
    <t>タイル</t>
    <phoneticPr fontId="7"/>
  </si>
  <si>
    <t>れんが</t>
    <phoneticPr fontId="7"/>
  </si>
  <si>
    <t>かわら</t>
    <phoneticPr fontId="7"/>
  </si>
  <si>
    <t>タタミボード</t>
    <phoneticPr fontId="7"/>
  </si>
  <si>
    <t>シージングボード</t>
    <phoneticPr fontId="7"/>
  </si>
  <si>
    <t>パーティクルボード</t>
    <phoneticPr fontId="7"/>
  </si>
  <si>
    <t>ハードファイバーボード（ハードボード）</t>
    <phoneticPr fontId="7"/>
  </si>
  <si>
    <t>ミディアムデンシティファイバーボード（MDF）</t>
    <phoneticPr fontId="7"/>
  </si>
  <si>
    <t>FRP</t>
    <phoneticPr fontId="7"/>
  </si>
  <si>
    <t>せっこうボード（GB-R、GB-Dなど）</t>
    <phoneticPr fontId="7"/>
  </si>
  <si>
    <r>
      <t>U</t>
    </r>
    <r>
      <rPr>
        <b/>
        <vertAlign val="subscript"/>
        <sz val="11"/>
        <color theme="1"/>
        <rFont val="メイリオ"/>
        <family val="3"/>
        <charset val="128"/>
      </rPr>
      <t>A</t>
    </r>
    <r>
      <rPr>
        <sz val="9"/>
        <color theme="1"/>
        <rFont val="HGPｺﾞｼｯｸM"/>
        <family val="3"/>
        <charset val="128"/>
      </rPr>
      <t/>
    </r>
    <phoneticPr fontId="2"/>
  </si>
  <si>
    <r>
      <t>η</t>
    </r>
    <r>
      <rPr>
        <b/>
        <vertAlign val="subscript"/>
        <sz val="11"/>
        <color theme="1"/>
        <rFont val="メイリオ"/>
        <family val="3"/>
        <charset val="128"/>
      </rPr>
      <t>AH</t>
    </r>
    <phoneticPr fontId="2"/>
  </si>
  <si>
    <r>
      <t>η</t>
    </r>
    <r>
      <rPr>
        <b/>
        <vertAlign val="subscript"/>
        <sz val="11"/>
        <color theme="1"/>
        <rFont val="メイリオ"/>
        <family val="3"/>
        <charset val="128"/>
      </rPr>
      <t>AC</t>
    </r>
    <phoneticPr fontId="2"/>
  </si>
  <si>
    <t>外皮面積の
合計</t>
    <rPh sb="0" eb="2">
      <t>ガイヒ</t>
    </rPh>
    <rPh sb="2" eb="4">
      <t>メンセキ</t>
    </rPh>
    <rPh sb="6" eb="8">
      <t>ゴウケイ</t>
    </rPh>
    <phoneticPr fontId="2"/>
  </si>
  <si>
    <t>◆表1：熱伝導率(※1)</t>
    <rPh sb="1" eb="2">
      <t>ヒョウ</t>
    </rPh>
    <rPh sb="4" eb="5">
      <t>ネツ</t>
    </rPh>
    <rPh sb="5" eb="8">
      <t>デンドウリツ</t>
    </rPh>
    <phoneticPr fontId="2"/>
  </si>
  <si>
    <t>※1  この表に示されている以外の断熱材等も計算に使用できますが、メーカーパンフレット等、熱伝導率が確認できる資料を提出していただく場合があります。</t>
    <phoneticPr fontId="2"/>
  </si>
  <si>
    <t>他の空間と連通していない/している空気層(※2)</t>
    <rPh sb="0" eb="1">
      <t>ホカ</t>
    </rPh>
    <rPh sb="2" eb="4">
      <t>クウカン</t>
    </rPh>
    <rPh sb="5" eb="7">
      <t>レンツウ</t>
    </rPh>
    <rPh sb="17" eb="20">
      <t>クウキソウ</t>
    </rPh>
    <phoneticPr fontId="7"/>
  </si>
  <si>
    <t>※2  他の空間と連通している空気層の場合、空気層よりも室内側の建材の熱抵抗は加算できません。</t>
    <phoneticPr fontId="2"/>
  </si>
  <si>
    <t>下部断熱位置（選択）</t>
    <rPh sb="0" eb="2">
      <t>カブ</t>
    </rPh>
    <rPh sb="2" eb="4">
      <t>ダンネツ</t>
    </rPh>
    <rPh sb="4" eb="6">
      <t>イチ</t>
    </rPh>
    <rPh sb="7" eb="9">
      <t>センタク</t>
    </rPh>
    <phoneticPr fontId="2"/>
  </si>
  <si>
    <t>上部断熱位置（選択）</t>
    <rPh sb="0" eb="2">
      <t>ジョウブ</t>
    </rPh>
    <rPh sb="2" eb="4">
      <t>ダンネツ</t>
    </rPh>
    <rPh sb="4" eb="6">
      <t>イチ</t>
    </rPh>
    <rPh sb="7" eb="9">
      <t>センタク</t>
    </rPh>
    <phoneticPr fontId="2"/>
  </si>
  <si>
    <t>地域区分（選択）</t>
    <rPh sb="0" eb="2">
      <t>チイキ</t>
    </rPh>
    <rPh sb="2" eb="4">
      <t>クブン</t>
    </rPh>
    <rPh sb="5" eb="7">
      <t>センタク</t>
    </rPh>
    <phoneticPr fontId="2"/>
  </si>
  <si>
    <t>Error：地域区分（D4セル）が選択されていません</t>
    <rPh sb="6" eb="10">
      <t>チイキクブン</t>
    </rPh>
    <rPh sb="17" eb="19">
      <t>センタク</t>
    </rPh>
    <phoneticPr fontId="2"/>
  </si>
  <si>
    <t>Error：上部断熱位置（I4セル）が選択されていません</t>
    <rPh sb="6" eb="8">
      <t>ジョウブ</t>
    </rPh>
    <rPh sb="8" eb="10">
      <t>ダンネツ</t>
    </rPh>
    <rPh sb="10" eb="12">
      <t>イチ</t>
    </rPh>
    <rPh sb="19" eb="21">
      <t>センタク</t>
    </rPh>
    <phoneticPr fontId="2"/>
  </si>
  <si>
    <t>Error：下部断熱位置（N4セル）が選択されていません</t>
    <rPh sb="6" eb="7">
      <t>シタ</t>
    </rPh>
    <rPh sb="8" eb="10">
      <t>ダンネツ</t>
    </rPh>
    <rPh sb="10" eb="12">
      <t>イチ</t>
    </rPh>
    <rPh sb="19" eb="21">
      <t>センタク</t>
    </rPh>
    <phoneticPr fontId="2"/>
  </si>
  <si>
    <t>木製建具または樹脂製建具</t>
    <rPh sb="0" eb="4">
      <t>モクセイタテグ</t>
    </rPh>
    <rPh sb="7" eb="10">
      <t>ジュシセイ</t>
    </rPh>
    <rPh sb="10" eb="12">
      <t>タテグ</t>
    </rPh>
    <phoneticPr fontId="2"/>
  </si>
  <si>
    <t>複層</t>
    <rPh sb="0" eb="2">
      <t>フクソウ</t>
    </rPh>
    <phoneticPr fontId="2"/>
  </si>
  <si>
    <t>単板</t>
    <rPh sb="0" eb="2">
      <t>タンバン</t>
    </rPh>
    <phoneticPr fontId="2"/>
  </si>
  <si>
    <t>木と金属の複合材料性建具</t>
    <rPh sb="0" eb="1">
      <t>キ</t>
    </rPh>
    <rPh sb="2" eb="4">
      <t>キンゾク</t>
    </rPh>
    <rPh sb="5" eb="7">
      <t>フクゴウ</t>
    </rPh>
    <rPh sb="7" eb="10">
      <t>ザイリョウセイ</t>
    </rPh>
    <rPh sb="10" eb="12">
      <t>タテグ</t>
    </rPh>
    <phoneticPr fontId="2"/>
  </si>
  <si>
    <t>または樹脂と金属の複合材料性建具</t>
    <rPh sb="3" eb="5">
      <t>ジュシ</t>
    </rPh>
    <rPh sb="6" eb="8">
      <t>キンゾク</t>
    </rPh>
    <rPh sb="9" eb="13">
      <t>フクゴウザイリョウ</t>
    </rPh>
    <rPh sb="13" eb="14">
      <t>セイ</t>
    </rPh>
    <rPh sb="14" eb="16">
      <t>タテグ</t>
    </rPh>
    <phoneticPr fontId="2"/>
  </si>
  <si>
    <t>金属製建具またはその他</t>
    <rPh sb="0" eb="5">
      <t>キンゾクセイタテグ</t>
    </rPh>
    <rPh sb="10" eb="11">
      <t>タ</t>
    </rPh>
    <phoneticPr fontId="2"/>
  </si>
  <si>
    <t>ガラスの仕様</t>
    <rPh sb="4" eb="6">
      <t>シヨウ</t>
    </rPh>
    <phoneticPr fontId="2"/>
  </si>
  <si>
    <t>Uw=0.659×Ug+1.04</t>
    <phoneticPr fontId="2"/>
  </si>
  <si>
    <t>Uw=0.812×Ug+1.39</t>
    <phoneticPr fontId="2"/>
  </si>
  <si>
    <t>枠の種類</t>
    <rPh sb="0" eb="1">
      <t>ワク</t>
    </rPh>
    <rPh sb="2" eb="4">
      <t>シュルイ</t>
    </rPh>
    <phoneticPr fontId="2"/>
  </si>
  <si>
    <t>Uw=0.659×Ug+0.82</t>
    <phoneticPr fontId="2"/>
  </si>
  <si>
    <t>Uw=0.800×Ug+1.15</t>
    <phoneticPr fontId="2"/>
  </si>
  <si>
    <t>Uw=0.800×Ug+0.88</t>
    <phoneticPr fontId="2"/>
  </si>
  <si>
    <t>Uw=0.812×Ug+1.51</t>
    <phoneticPr fontId="2"/>
  </si>
  <si>
    <t>中空層幅</t>
    <rPh sb="0" eb="3">
      <t>チュウクウソウ</t>
    </rPh>
    <rPh sb="3" eb="4">
      <t>ハバ</t>
    </rPh>
    <phoneticPr fontId="2"/>
  </si>
  <si>
    <t>熱貫流率</t>
    <rPh sb="0" eb="4">
      <t>ネツカンリュウリツ</t>
    </rPh>
    <phoneticPr fontId="2"/>
  </si>
  <si>
    <t>6mm</t>
    <phoneticPr fontId="2"/>
  </si>
  <si>
    <t>12mm</t>
    <phoneticPr fontId="2"/>
  </si>
  <si>
    <t>8mm</t>
    <phoneticPr fontId="2"/>
  </si>
  <si>
    <t>14mm</t>
    <phoneticPr fontId="2"/>
  </si>
  <si>
    <t>10mm</t>
    <phoneticPr fontId="2"/>
  </si>
  <si>
    <t>16mm</t>
    <phoneticPr fontId="2"/>
  </si>
  <si>
    <t>三層複層ガラス（Low-E2枚、断熱性ガス入り）</t>
    <rPh sb="0" eb="2">
      <t>サンソウ</t>
    </rPh>
    <rPh sb="2" eb="4">
      <t>フクソウ</t>
    </rPh>
    <rPh sb="14" eb="15">
      <t>マイ</t>
    </rPh>
    <rPh sb="16" eb="19">
      <t>ダンネツセイ</t>
    </rPh>
    <rPh sb="21" eb="22">
      <t>イ</t>
    </rPh>
    <phoneticPr fontId="2"/>
  </si>
  <si>
    <t>三層複層ガラス（Low-E2枚）</t>
    <rPh sb="0" eb="2">
      <t>サンソウ</t>
    </rPh>
    <rPh sb="2" eb="4">
      <t>フクソウ</t>
    </rPh>
    <rPh sb="14" eb="15">
      <t>マイ</t>
    </rPh>
    <phoneticPr fontId="2"/>
  </si>
  <si>
    <t>6mm</t>
    <phoneticPr fontId="2"/>
  </si>
  <si>
    <t>8mm</t>
    <phoneticPr fontId="2"/>
  </si>
  <si>
    <t>10mm</t>
    <phoneticPr fontId="2"/>
  </si>
  <si>
    <t>12mm</t>
    <phoneticPr fontId="2"/>
  </si>
  <si>
    <t>14mm</t>
    <phoneticPr fontId="2"/>
  </si>
  <si>
    <t>16mm</t>
    <phoneticPr fontId="2"/>
  </si>
  <si>
    <t>三層複層ガラス（Low-E1枚、断熱性ガス入り）</t>
    <rPh sb="0" eb="2">
      <t>サンソウ</t>
    </rPh>
    <rPh sb="2" eb="4">
      <t>フクソウ</t>
    </rPh>
    <rPh sb="14" eb="15">
      <t>マイ</t>
    </rPh>
    <rPh sb="16" eb="19">
      <t>ダンネツセイ</t>
    </rPh>
    <rPh sb="21" eb="22">
      <t>イ</t>
    </rPh>
    <phoneticPr fontId="2"/>
  </si>
  <si>
    <t>三層複層ガラス（Low-E1枚）</t>
    <rPh sb="0" eb="2">
      <t>サンソウ</t>
    </rPh>
    <rPh sb="2" eb="4">
      <t>フクソウ</t>
    </rPh>
    <rPh sb="14" eb="15">
      <t>マイ</t>
    </rPh>
    <phoneticPr fontId="2"/>
  </si>
  <si>
    <t>三層複層ガラス</t>
    <rPh sb="0" eb="2">
      <t>サンソウ</t>
    </rPh>
    <rPh sb="2" eb="4">
      <t>フクソウ</t>
    </rPh>
    <phoneticPr fontId="2"/>
  </si>
  <si>
    <t>二層複層ガラス（Low-E1枚、断熱性ガス入り）</t>
    <rPh sb="0" eb="2">
      <t>ニソウ</t>
    </rPh>
    <rPh sb="2" eb="4">
      <t>フクソウ</t>
    </rPh>
    <rPh sb="14" eb="15">
      <t>マイ</t>
    </rPh>
    <rPh sb="16" eb="19">
      <t>ダンネツセイ</t>
    </rPh>
    <rPh sb="21" eb="22">
      <t>イ</t>
    </rPh>
    <phoneticPr fontId="2"/>
  </si>
  <si>
    <t>二層複層ガラス（Low-E1枚）</t>
    <rPh sb="0" eb="2">
      <t>ニソウ</t>
    </rPh>
    <rPh sb="2" eb="4">
      <t>フクソウ</t>
    </rPh>
    <rPh sb="14" eb="15">
      <t>マイ</t>
    </rPh>
    <phoneticPr fontId="2"/>
  </si>
  <si>
    <t>二層複層ガラス</t>
    <rPh sb="0" eb="2">
      <t>ニソウ</t>
    </rPh>
    <rPh sb="2" eb="4">
      <t>フクソウ</t>
    </rPh>
    <phoneticPr fontId="2"/>
  </si>
  <si>
    <r>
      <t>m</t>
    </r>
    <r>
      <rPr>
        <vertAlign val="subscript"/>
        <sz val="9"/>
        <color theme="1"/>
        <rFont val="メイリオ"/>
        <family val="3"/>
        <charset val="128"/>
      </rPr>
      <t>C</t>
    </r>
    <r>
      <rPr>
        <sz val="9"/>
        <color theme="1"/>
        <rFont val="メイリオ"/>
        <family val="3"/>
        <charset val="128"/>
      </rPr>
      <t>1</t>
    </r>
    <phoneticPr fontId="2"/>
  </si>
  <si>
    <t>右の数値をエネルギー消費性能計算プログラムに入力して下さい</t>
    <rPh sb="0" eb="1">
      <t>ミギ</t>
    </rPh>
    <rPh sb="2" eb="4">
      <t>スウチ</t>
    </rPh>
    <rPh sb="10" eb="12">
      <t>ショウヒ</t>
    </rPh>
    <rPh sb="12" eb="14">
      <t>セイノウ</t>
    </rPh>
    <rPh sb="14" eb="16">
      <t>ケイサン</t>
    </rPh>
    <rPh sb="22" eb="24">
      <t>ニュウリョク</t>
    </rPh>
    <rPh sb="26" eb="27">
      <t>クダ</t>
    </rPh>
    <phoneticPr fontId="2"/>
  </si>
  <si>
    <t>軽量気泡コンクリート（ALCパネル）</t>
    <rPh sb="0" eb="2">
      <t>ケイリョウ</t>
    </rPh>
    <rPh sb="2" eb="4">
      <t>キホウ</t>
    </rPh>
    <phoneticPr fontId="7"/>
  </si>
  <si>
    <r>
      <t>熱貫流率Uw[W/m</t>
    </r>
    <r>
      <rPr>
        <vertAlign val="superscript"/>
        <sz val="10"/>
        <color theme="1"/>
        <rFont val="メイリオ"/>
        <family val="3"/>
        <charset val="128"/>
      </rPr>
      <t>2</t>
    </r>
    <r>
      <rPr>
        <sz val="10"/>
        <color theme="1"/>
        <rFont val="メイリオ"/>
        <family val="3"/>
        <charset val="128"/>
      </rPr>
      <t>K]の計算式
(Ug:ガラス中央部の熱貫流率）</t>
    </r>
    <rPh sb="0" eb="4">
      <t>ネツカンリュウリツ</t>
    </rPh>
    <rPh sb="14" eb="17">
      <t>ケイサンシキ</t>
    </rPh>
    <rPh sb="25" eb="28">
      <t>チュウオウブ</t>
    </rPh>
    <rPh sb="29" eb="33">
      <t>ネツカンリュウリツ</t>
    </rPh>
    <phoneticPr fontId="2"/>
  </si>
  <si>
    <t>※一般部位における日よけ効果係数は1.0として計算しています。</t>
    <rPh sb="1" eb="3">
      <t>イッパン</t>
    </rPh>
    <rPh sb="3" eb="5">
      <t>ブイ</t>
    </rPh>
    <rPh sb="9" eb="10">
      <t>ヒ</t>
    </rPh>
    <rPh sb="12" eb="14">
      <t>コウカ</t>
    </rPh>
    <rPh sb="14" eb="16">
      <t>ケイスウ</t>
    </rPh>
    <rPh sb="23" eb="25">
      <t>ケイサン</t>
    </rPh>
    <phoneticPr fontId="2"/>
  </si>
  <si>
    <r>
      <t>暖房期
日射熱
取得量
ν</t>
    </r>
    <r>
      <rPr>
        <vertAlign val="subscript"/>
        <sz val="9"/>
        <color theme="1"/>
        <rFont val="メイリオ"/>
        <family val="3"/>
        <charset val="128"/>
      </rPr>
      <t>H</t>
    </r>
    <r>
      <rPr>
        <sz val="9"/>
        <color theme="1"/>
        <rFont val="メイリオ"/>
        <family val="3"/>
        <charset val="128"/>
      </rPr>
      <t>Aη</t>
    </r>
    <r>
      <rPr>
        <vertAlign val="subscript"/>
        <sz val="9"/>
        <color theme="1"/>
        <rFont val="メイリオ"/>
        <family val="3"/>
        <charset val="128"/>
      </rPr>
      <t>d</t>
    </r>
    <r>
      <rPr>
        <sz val="9"/>
        <color theme="1"/>
        <rFont val="メイリオ"/>
        <family val="3"/>
        <charset val="128"/>
      </rPr>
      <t>f</t>
    </r>
    <r>
      <rPr>
        <vertAlign val="subscript"/>
        <sz val="9"/>
        <color theme="1"/>
        <rFont val="メイリオ"/>
        <family val="3"/>
        <charset val="128"/>
      </rPr>
      <t>H</t>
    </r>
    <rPh sb="0" eb="2">
      <t>ダンボウ</t>
    </rPh>
    <rPh sb="2" eb="3">
      <t>キ</t>
    </rPh>
    <rPh sb="4" eb="6">
      <t>ニッシャ</t>
    </rPh>
    <rPh sb="6" eb="7">
      <t>ネツ</t>
    </rPh>
    <rPh sb="8" eb="10">
      <t>シュトク</t>
    </rPh>
    <rPh sb="10" eb="11">
      <t>リョウ</t>
    </rPh>
    <phoneticPr fontId="2"/>
  </si>
  <si>
    <r>
      <t>冷房期
日射熱
取得量
ν</t>
    </r>
    <r>
      <rPr>
        <vertAlign val="subscript"/>
        <sz val="9"/>
        <color theme="1"/>
        <rFont val="メイリオ"/>
        <family val="3"/>
        <charset val="128"/>
      </rPr>
      <t>C</t>
    </r>
    <r>
      <rPr>
        <sz val="9"/>
        <color theme="1"/>
        <rFont val="メイリオ"/>
        <family val="3"/>
        <charset val="128"/>
      </rPr>
      <t>Aη</t>
    </r>
    <r>
      <rPr>
        <vertAlign val="subscript"/>
        <sz val="9"/>
        <color theme="1"/>
        <rFont val="メイリオ"/>
        <family val="3"/>
        <charset val="128"/>
      </rPr>
      <t>d</t>
    </r>
    <r>
      <rPr>
        <sz val="9"/>
        <color theme="1"/>
        <rFont val="メイリオ"/>
        <family val="3"/>
        <charset val="128"/>
      </rPr>
      <t>f</t>
    </r>
    <r>
      <rPr>
        <vertAlign val="subscript"/>
        <sz val="9"/>
        <color theme="1"/>
        <rFont val="メイリオ"/>
        <family val="3"/>
        <charset val="128"/>
      </rPr>
      <t>C</t>
    </r>
    <rPh sb="0" eb="2">
      <t>レイボウ</t>
    </rPh>
    <rPh sb="2" eb="3">
      <t>キ</t>
    </rPh>
    <rPh sb="4" eb="6">
      <t>ニッシャ</t>
    </rPh>
    <rPh sb="6" eb="7">
      <t>ネツ</t>
    </rPh>
    <rPh sb="8" eb="10">
      <t>シュトク</t>
    </rPh>
    <rPh sb="10" eb="11">
      <t>リョウ</t>
    </rPh>
    <phoneticPr fontId="2"/>
  </si>
  <si>
    <r>
      <t>暖房期
日射熱
取得量
ν</t>
    </r>
    <r>
      <rPr>
        <vertAlign val="subscript"/>
        <sz val="9"/>
        <color theme="1"/>
        <rFont val="メイリオ"/>
        <family val="3"/>
        <charset val="128"/>
      </rPr>
      <t>H</t>
    </r>
    <r>
      <rPr>
        <sz val="9"/>
        <color theme="1"/>
        <rFont val="メイリオ"/>
        <family val="3"/>
        <charset val="128"/>
      </rPr>
      <t>Aη</t>
    </r>
    <r>
      <rPr>
        <vertAlign val="subscript"/>
        <sz val="9"/>
        <color theme="1"/>
        <rFont val="メイリオ"/>
        <family val="3"/>
        <charset val="128"/>
      </rPr>
      <t>d</t>
    </r>
    <rPh sb="0" eb="2">
      <t>ダンボウ</t>
    </rPh>
    <rPh sb="2" eb="3">
      <t>キ</t>
    </rPh>
    <rPh sb="4" eb="6">
      <t>ニッシャ</t>
    </rPh>
    <rPh sb="6" eb="7">
      <t>ネツ</t>
    </rPh>
    <rPh sb="8" eb="10">
      <t>シュトク</t>
    </rPh>
    <rPh sb="10" eb="11">
      <t>リョウ</t>
    </rPh>
    <phoneticPr fontId="2"/>
  </si>
  <si>
    <r>
      <t>冷房期
日射熱
取得量
ν</t>
    </r>
    <r>
      <rPr>
        <vertAlign val="subscript"/>
        <sz val="9"/>
        <color theme="1"/>
        <rFont val="メイリオ"/>
        <family val="3"/>
        <charset val="128"/>
      </rPr>
      <t>C</t>
    </r>
    <r>
      <rPr>
        <sz val="9"/>
        <color theme="1"/>
        <rFont val="メイリオ"/>
        <family val="3"/>
        <charset val="128"/>
      </rPr>
      <t>Aη</t>
    </r>
    <r>
      <rPr>
        <vertAlign val="subscript"/>
        <sz val="9"/>
        <color theme="1"/>
        <rFont val="メイリオ"/>
        <family val="3"/>
        <charset val="128"/>
      </rPr>
      <t>d</t>
    </r>
    <rPh sb="0" eb="2">
      <t>レイボウ</t>
    </rPh>
    <rPh sb="2" eb="3">
      <t>キ</t>
    </rPh>
    <rPh sb="4" eb="6">
      <t>ニッシャ</t>
    </rPh>
    <rPh sb="6" eb="7">
      <t>ネツ</t>
    </rPh>
    <rPh sb="8" eb="10">
      <t>シュトク</t>
    </rPh>
    <rPh sb="10" eb="11">
      <t>リョウ</t>
    </rPh>
    <phoneticPr fontId="2"/>
  </si>
  <si>
    <t>※開口部における日よけ効果係数は1.0として計算しています。</t>
    <rPh sb="1" eb="4">
      <t>カイコウブ</t>
    </rPh>
    <rPh sb="8" eb="9">
      <t>ヒ</t>
    </rPh>
    <rPh sb="11" eb="13">
      <t>コウカ</t>
    </rPh>
    <rPh sb="13" eb="15">
      <t>ケイスウ</t>
    </rPh>
    <rPh sb="22" eb="24">
      <t>ケイサン</t>
    </rPh>
    <phoneticPr fontId="2"/>
  </si>
  <si>
    <t>※取得日射熱補正係数の算定方法は、「地域の区分、方位及び日よけの形状に依らず定められた値を用いる方法」を採用しています。</t>
    <rPh sb="1" eb="3">
      <t>シュトク</t>
    </rPh>
    <rPh sb="3" eb="6">
      <t>ニッシャネツ</t>
    </rPh>
    <rPh sb="6" eb="10">
      <t>ホセイケイスウ</t>
    </rPh>
    <rPh sb="11" eb="15">
      <t>サンテイホウホウ</t>
    </rPh>
    <rPh sb="18" eb="20">
      <t>チイキ</t>
    </rPh>
    <rPh sb="21" eb="23">
      <t>クブン</t>
    </rPh>
    <rPh sb="24" eb="26">
      <t>ホウイ</t>
    </rPh>
    <rPh sb="26" eb="27">
      <t>オヨ</t>
    </rPh>
    <rPh sb="28" eb="29">
      <t>ヒ</t>
    </rPh>
    <rPh sb="32" eb="34">
      <t>ケイジョウ</t>
    </rPh>
    <rPh sb="35" eb="36">
      <t>ヨ</t>
    </rPh>
    <rPh sb="38" eb="39">
      <t>サダ</t>
    </rPh>
    <rPh sb="43" eb="44">
      <t>アタイ</t>
    </rPh>
    <rPh sb="45" eb="46">
      <t>モチ</t>
    </rPh>
    <rPh sb="48" eb="50">
      <t>ホウホウ</t>
    </rPh>
    <rPh sb="52" eb="54">
      <t>サイヨウ</t>
    </rPh>
    <phoneticPr fontId="2"/>
  </si>
  <si>
    <t>■「U値」シート</t>
    <rPh sb="3" eb="4">
      <t>チ</t>
    </rPh>
    <phoneticPr fontId="2"/>
  </si>
  <si>
    <t>■「UA値等」シート</t>
    <rPh sb="4" eb="5">
      <t>チ</t>
    </rPh>
    <rPh sb="5" eb="6">
      <t>トウ</t>
    </rPh>
    <phoneticPr fontId="2"/>
  </si>
  <si>
    <t>■他のソフト等による計算結果の提出</t>
    <rPh sb="1" eb="2">
      <t>ホカ</t>
    </rPh>
    <rPh sb="6" eb="7">
      <t>トウ</t>
    </rPh>
    <rPh sb="10" eb="14">
      <t>ケイサンケッカ</t>
    </rPh>
    <rPh sb="15" eb="17">
      <t>テイシュツ</t>
    </rPh>
    <phoneticPr fontId="2"/>
  </si>
  <si>
    <t>■RC造・鉄骨造の場合</t>
    <rPh sb="3" eb="4">
      <t>ヅクリ</t>
    </rPh>
    <rPh sb="5" eb="7">
      <t>テッコツ</t>
    </rPh>
    <rPh sb="7" eb="8">
      <t>ヅクリ</t>
    </rPh>
    <rPh sb="9" eb="11">
      <t>バアイ</t>
    </rPh>
    <phoneticPr fontId="2"/>
  </si>
  <si>
    <t>■セルの表示色</t>
    <rPh sb="4" eb="7">
      <t>ヒョウジショク</t>
    </rPh>
    <phoneticPr fontId="2"/>
  </si>
  <si>
    <t>■注意事項・お問い合わせ</t>
    <rPh sb="1" eb="3">
      <t>チュウイ</t>
    </rPh>
    <rPh sb="3" eb="5">
      <t>ジコウ</t>
    </rPh>
    <rPh sb="7" eb="8">
      <t>ト</t>
    </rPh>
    <rPh sb="9" eb="10">
      <t>ア</t>
    </rPh>
    <phoneticPr fontId="2"/>
  </si>
  <si>
    <t>例えば、応募する地域が1～7地域で、断熱仕様が1～3地域用と4～7地域用で異なる場合、
　「U値」シート・・・・1～3地域用と4～7地域用の計2シートが必要です
　「UA値等」シート・・・1地域用、2地域用、・・・、7地域用の計7シートが必要です</t>
    <rPh sb="0" eb="1">
      <t>タト</t>
    </rPh>
    <rPh sb="4" eb="6">
      <t>オウボ</t>
    </rPh>
    <rPh sb="8" eb="10">
      <t>チイキ</t>
    </rPh>
    <rPh sb="14" eb="16">
      <t>チイキ</t>
    </rPh>
    <rPh sb="18" eb="20">
      <t>ダンネツ</t>
    </rPh>
    <rPh sb="20" eb="22">
      <t>シヨウ</t>
    </rPh>
    <rPh sb="26" eb="28">
      <t>チイキ</t>
    </rPh>
    <rPh sb="28" eb="29">
      <t>ヨウ</t>
    </rPh>
    <rPh sb="33" eb="35">
      <t>チイキ</t>
    </rPh>
    <rPh sb="35" eb="36">
      <t>ヨウ</t>
    </rPh>
    <rPh sb="37" eb="38">
      <t>コト</t>
    </rPh>
    <rPh sb="40" eb="42">
      <t>バアイ</t>
    </rPh>
    <rPh sb="47" eb="48">
      <t>チ</t>
    </rPh>
    <rPh sb="59" eb="62">
      <t>チイキヨウ</t>
    </rPh>
    <rPh sb="66" eb="68">
      <t>チイキ</t>
    </rPh>
    <rPh sb="68" eb="69">
      <t>ヨウ</t>
    </rPh>
    <rPh sb="70" eb="71">
      <t>ケイ</t>
    </rPh>
    <rPh sb="76" eb="78">
      <t>ヒツヨウ</t>
    </rPh>
    <rPh sb="85" eb="86">
      <t>チ</t>
    </rPh>
    <rPh sb="86" eb="87">
      <t>トウ</t>
    </rPh>
    <rPh sb="95" eb="97">
      <t>チイキ</t>
    </rPh>
    <rPh sb="97" eb="98">
      <t>ヨウ</t>
    </rPh>
    <rPh sb="100" eb="103">
      <t>チイキヨウ</t>
    </rPh>
    <rPh sb="109" eb="111">
      <t>チイキ</t>
    </rPh>
    <rPh sb="111" eb="112">
      <t>ヨウ</t>
    </rPh>
    <rPh sb="113" eb="114">
      <t>ケイ</t>
    </rPh>
    <rPh sb="119" eb="121">
      <t>ヒツヨウ</t>
    </rPh>
    <phoneticPr fontId="2"/>
  </si>
  <si>
    <t>Error：床U値（G25セル）が空欄です</t>
    <rPh sb="6" eb="7">
      <t>ユカ</t>
    </rPh>
    <rPh sb="8" eb="9">
      <t>チ</t>
    </rPh>
    <rPh sb="17" eb="19">
      <t>クウラン</t>
    </rPh>
    <phoneticPr fontId="2"/>
  </si>
  <si>
    <t>Error：床断熱の場合の基礎ψ値（G26～G29セル）に空欄があります</t>
    <rPh sb="6" eb="7">
      <t>ユカ</t>
    </rPh>
    <rPh sb="7" eb="9">
      <t>ダンネツ</t>
    </rPh>
    <rPh sb="10" eb="12">
      <t>バアイ</t>
    </rPh>
    <rPh sb="13" eb="15">
      <t>キソ</t>
    </rPh>
    <rPh sb="16" eb="17">
      <t>チ</t>
    </rPh>
    <rPh sb="29" eb="31">
      <t>クウラン</t>
    </rPh>
    <phoneticPr fontId="2"/>
  </si>
  <si>
    <t>Error：基礎ψ値（G34セル）が空欄です</t>
    <rPh sb="6" eb="8">
      <t>キソ</t>
    </rPh>
    <rPh sb="9" eb="10">
      <t>チ</t>
    </rPh>
    <rPh sb="18" eb="20">
      <t>クウラン</t>
    </rPh>
    <phoneticPr fontId="2"/>
  </si>
  <si>
    <t>Error：天井U値（G39～G40セル）に空欄があります</t>
    <rPh sb="6" eb="8">
      <t>テンジョウ</t>
    </rPh>
    <rPh sb="9" eb="10">
      <t>チ</t>
    </rPh>
    <rPh sb="22" eb="24">
      <t>クウラン</t>
    </rPh>
    <phoneticPr fontId="2"/>
  </si>
  <si>
    <t>Error：窓U値（F66～F82セル）に空欄があります</t>
    <rPh sb="6" eb="7">
      <t>マド</t>
    </rPh>
    <rPh sb="8" eb="9">
      <t>チ</t>
    </rPh>
    <rPh sb="21" eb="23">
      <t>クウラン</t>
    </rPh>
    <phoneticPr fontId="2"/>
  </si>
  <si>
    <t>Error：窓ηd値（I66～I82セル）に空欄があります</t>
    <rPh sb="6" eb="7">
      <t>マド</t>
    </rPh>
    <rPh sb="9" eb="10">
      <t>チ</t>
    </rPh>
    <rPh sb="22" eb="24">
      <t>クウラン</t>
    </rPh>
    <phoneticPr fontId="2"/>
  </si>
  <si>
    <t>Error：ドアU値（F59～F60セル）に空欄があります</t>
    <rPh sb="9" eb="10">
      <t>チ</t>
    </rPh>
    <rPh sb="22" eb="24">
      <t>クウラン</t>
    </rPh>
    <phoneticPr fontId="2"/>
  </si>
  <si>
    <t>シリーズ名を入力して下さい</t>
    <rPh sb="4" eb="5">
      <t>メイ</t>
    </rPh>
    <rPh sb="6" eb="8">
      <t>ニュウリョク</t>
    </rPh>
    <rPh sb="10" eb="11">
      <t>クダ</t>
    </rPh>
    <phoneticPr fontId="2"/>
  </si>
  <si>
    <t>基礎壁（玄関、外気側※1）</t>
    <rPh sb="0" eb="2">
      <t>キソ</t>
    </rPh>
    <rPh sb="2" eb="3">
      <t>カベ</t>
    </rPh>
    <rPh sb="4" eb="6">
      <t>ゲンカン</t>
    </rPh>
    <rPh sb="7" eb="9">
      <t>ガイキ</t>
    </rPh>
    <rPh sb="9" eb="10">
      <t>ガワ</t>
    </rPh>
    <phoneticPr fontId="2"/>
  </si>
  <si>
    <t>基礎壁（玄関、外気側※2）</t>
    <rPh sb="0" eb="2">
      <t>キソ</t>
    </rPh>
    <rPh sb="2" eb="3">
      <t>カベ</t>
    </rPh>
    <rPh sb="4" eb="6">
      <t>ゲンカン</t>
    </rPh>
    <rPh sb="7" eb="9">
      <t>ガイキ</t>
    </rPh>
    <rPh sb="9" eb="10">
      <t>ガワ</t>
    </rPh>
    <phoneticPr fontId="2"/>
  </si>
  <si>
    <t>基礎壁（玄関、床下側※3）</t>
    <rPh sb="0" eb="2">
      <t>キソ</t>
    </rPh>
    <rPh sb="2" eb="3">
      <t>カベ</t>
    </rPh>
    <rPh sb="4" eb="6">
      <t>ゲンカン</t>
    </rPh>
    <rPh sb="7" eb="9">
      <t>ユカシタ</t>
    </rPh>
    <rPh sb="9" eb="10">
      <t>ガワ</t>
    </rPh>
    <phoneticPr fontId="2"/>
  </si>
  <si>
    <t>基礎壁（浴室、外気側※4）</t>
    <rPh sb="0" eb="2">
      <t>キソ</t>
    </rPh>
    <rPh sb="2" eb="3">
      <t>カベ</t>
    </rPh>
    <rPh sb="4" eb="6">
      <t>ヨクシツ</t>
    </rPh>
    <rPh sb="7" eb="9">
      <t>ガイキ</t>
    </rPh>
    <rPh sb="9" eb="10">
      <t>ガワ</t>
    </rPh>
    <phoneticPr fontId="2"/>
  </si>
  <si>
    <t>基礎壁（浴室、外気側※5）</t>
    <rPh sb="0" eb="2">
      <t>キソ</t>
    </rPh>
    <rPh sb="2" eb="3">
      <t>カベ</t>
    </rPh>
    <rPh sb="4" eb="6">
      <t>ヨクシツ</t>
    </rPh>
    <rPh sb="7" eb="9">
      <t>ガイキ</t>
    </rPh>
    <rPh sb="9" eb="10">
      <t>ガワ</t>
    </rPh>
    <phoneticPr fontId="2"/>
  </si>
  <si>
    <t>基礎壁（浴室、床下側※6）</t>
    <rPh sb="0" eb="2">
      <t>キソ</t>
    </rPh>
    <rPh sb="2" eb="3">
      <t>カベ</t>
    </rPh>
    <rPh sb="4" eb="6">
      <t>ヨクシツ</t>
    </rPh>
    <rPh sb="7" eb="9">
      <t>ユカシタ</t>
    </rPh>
    <rPh sb="9" eb="10">
      <t>ガワ</t>
    </rPh>
    <phoneticPr fontId="2"/>
  </si>
  <si>
    <t>土間外周（玄関、外気側※1,2）</t>
    <rPh sb="0" eb="2">
      <t>ドマ</t>
    </rPh>
    <rPh sb="2" eb="4">
      <t>ガイシュウ</t>
    </rPh>
    <rPh sb="5" eb="7">
      <t>ゲンカン</t>
    </rPh>
    <rPh sb="8" eb="10">
      <t>ガイキ</t>
    </rPh>
    <rPh sb="10" eb="11">
      <t>ガワ</t>
    </rPh>
    <phoneticPr fontId="2"/>
  </si>
  <si>
    <t>土間外周（玄関、床下側※3）</t>
    <rPh sb="0" eb="2">
      <t>ドマ</t>
    </rPh>
    <rPh sb="2" eb="4">
      <t>ガイシュウ</t>
    </rPh>
    <rPh sb="5" eb="7">
      <t>ゲンカン</t>
    </rPh>
    <rPh sb="8" eb="10">
      <t>ユカシタ</t>
    </rPh>
    <rPh sb="10" eb="11">
      <t>ガワ</t>
    </rPh>
    <phoneticPr fontId="2"/>
  </si>
  <si>
    <t>土間外周（浴室、外気側※4,5）</t>
    <rPh sb="0" eb="2">
      <t>ドマ</t>
    </rPh>
    <rPh sb="2" eb="4">
      <t>ガイシュウ</t>
    </rPh>
    <rPh sb="5" eb="7">
      <t>ヨクシツ</t>
    </rPh>
    <rPh sb="8" eb="10">
      <t>ガイキ</t>
    </rPh>
    <rPh sb="10" eb="11">
      <t>ガワ</t>
    </rPh>
    <phoneticPr fontId="2"/>
  </si>
  <si>
    <t>土間外周（浴室、床下側※6）</t>
    <rPh sb="0" eb="2">
      <t>ドマ</t>
    </rPh>
    <rPh sb="2" eb="4">
      <t>ガイシュウ</t>
    </rPh>
    <rPh sb="5" eb="7">
      <t>ヨクシツ</t>
    </rPh>
    <rPh sb="8" eb="10">
      <t>ユカシタ</t>
    </rPh>
    <rPh sb="10" eb="11">
      <t>ガワ</t>
    </rPh>
    <phoneticPr fontId="2"/>
  </si>
  <si>
    <t>基礎壁</t>
    <rPh sb="0" eb="2">
      <t>キソ</t>
    </rPh>
    <rPh sb="2" eb="3">
      <t>カベ</t>
    </rPh>
    <phoneticPr fontId="2"/>
  </si>
  <si>
    <r>
      <t>m</t>
    </r>
    <r>
      <rPr>
        <vertAlign val="subscript"/>
        <sz val="9"/>
        <color theme="1"/>
        <rFont val="メイリオ"/>
        <family val="3"/>
        <charset val="128"/>
      </rPr>
      <t>H</t>
    </r>
    <r>
      <rPr>
        <sz val="9"/>
        <color theme="1"/>
        <rFont val="メイリオ"/>
        <family val="3"/>
        <charset val="128"/>
      </rPr>
      <t>2=</t>
    </r>
    <phoneticPr fontId="2"/>
  </si>
  <si>
    <r>
      <t>m</t>
    </r>
    <r>
      <rPr>
        <vertAlign val="subscript"/>
        <sz val="9"/>
        <color theme="1"/>
        <rFont val="メイリオ"/>
        <family val="3"/>
        <charset val="128"/>
      </rPr>
      <t>C</t>
    </r>
    <r>
      <rPr>
        <sz val="9"/>
        <color theme="1"/>
        <rFont val="メイリオ"/>
        <family val="3"/>
        <charset val="128"/>
      </rPr>
      <t>2=</t>
    </r>
    <phoneticPr fontId="2"/>
  </si>
  <si>
    <t>土間外周（建物全体）</t>
    <rPh sb="0" eb="2">
      <t>ドマ</t>
    </rPh>
    <rPh sb="2" eb="4">
      <t>ガイシュウ</t>
    </rPh>
    <rPh sb="5" eb="7">
      <t>タテモノ</t>
    </rPh>
    <rPh sb="7" eb="9">
      <t>ゼンタイ</t>
    </rPh>
    <phoneticPr fontId="2"/>
  </si>
  <si>
    <t>◆玄関ドア・勝手口ドア</t>
    <rPh sb="1" eb="3">
      <t>ゲンカン</t>
    </rPh>
    <rPh sb="6" eb="9">
      <t>カッテグチ</t>
    </rPh>
    <phoneticPr fontId="2"/>
  </si>
  <si>
    <r>
      <t>U値
[W/m</t>
    </r>
    <r>
      <rPr>
        <vertAlign val="superscript"/>
        <sz val="9"/>
        <color theme="1"/>
        <rFont val="メイリオ"/>
        <family val="3"/>
        <charset val="128"/>
      </rPr>
      <t>2</t>
    </r>
    <r>
      <rPr>
        <sz val="9"/>
        <color theme="1"/>
        <rFont val="メイリオ"/>
        <family val="3"/>
        <charset val="128"/>
      </rPr>
      <t>K]</t>
    </r>
    <rPh sb="1" eb="2">
      <t>チ</t>
    </rPh>
    <phoneticPr fontId="2"/>
  </si>
  <si>
    <t>線熱貫流率Ψ[W/mK]</t>
    <rPh sb="0" eb="1">
      <t>セン</t>
    </rPh>
    <rPh sb="1" eb="2">
      <t>ネツ</t>
    </rPh>
    <rPh sb="2" eb="4">
      <t>カンリュウ</t>
    </rPh>
    <rPh sb="4" eb="5">
      <t>リツ</t>
    </rPh>
    <phoneticPr fontId="2"/>
  </si>
  <si>
    <t>部位（床・基礎壁）</t>
    <rPh sb="0" eb="2">
      <t>ブイ</t>
    </rPh>
    <rPh sb="3" eb="4">
      <t>ユカ</t>
    </rPh>
    <rPh sb="5" eb="7">
      <t>キソ</t>
    </rPh>
    <rPh sb="7" eb="8">
      <t>カベ</t>
    </rPh>
    <phoneticPr fontId="2"/>
  </si>
  <si>
    <t>部位（土間外周）</t>
    <rPh sb="0" eb="2">
      <t>ブイ</t>
    </rPh>
    <rPh sb="3" eb="5">
      <t>ドマ</t>
    </rPh>
    <rPh sb="5" eb="7">
      <t>ガイシュウ</t>
    </rPh>
    <phoneticPr fontId="2"/>
  </si>
  <si>
    <t>部位（基礎壁）</t>
    <rPh sb="0" eb="2">
      <t>ブイ</t>
    </rPh>
    <rPh sb="3" eb="5">
      <t>キソ</t>
    </rPh>
    <rPh sb="5" eb="6">
      <t>カベ</t>
    </rPh>
    <phoneticPr fontId="2"/>
  </si>
  <si>
    <t>q2+q3</t>
    <phoneticPr fontId="2"/>
  </si>
  <si>
    <r>
      <t>m</t>
    </r>
    <r>
      <rPr>
        <vertAlign val="subscript"/>
        <sz val="9"/>
        <color theme="1"/>
        <rFont val="メイリオ"/>
        <family val="3"/>
        <charset val="128"/>
      </rPr>
      <t>C</t>
    </r>
    <r>
      <rPr>
        <sz val="9"/>
        <color theme="1"/>
        <rFont val="メイリオ"/>
        <family val="3"/>
        <charset val="128"/>
      </rPr>
      <t>2</t>
    </r>
    <phoneticPr fontId="2"/>
  </si>
  <si>
    <r>
      <t>m</t>
    </r>
    <r>
      <rPr>
        <vertAlign val="subscript"/>
        <sz val="9"/>
        <color theme="1"/>
        <rFont val="メイリオ"/>
        <family val="3"/>
        <charset val="128"/>
      </rPr>
      <t>H</t>
    </r>
    <r>
      <rPr>
        <sz val="9"/>
        <color theme="1"/>
        <rFont val="メイリオ"/>
        <family val="3"/>
        <charset val="128"/>
      </rPr>
      <t>2</t>
    </r>
    <phoneticPr fontId="2"/>
  </si>
  <si>
    <t>（UA値等シートに転記）</t>
    <rPh sb="3" eb="4">
      <t>チ</t>
    </rPh>
    <rPh sb="4" eb="5">
      <t>トウ</t>
    </rPh>
    <rPh sb="9" eb="11">
      <t>テンキ</t>
    </rPh>
    <phoneticPr fontId="2"/>
  </si>
  <si>
    <t>根太間断熱材＋大引間断熱材：0.72
根太間断熱材＋大引材等　　：0.12
根太材　　　＋大引間断熱材：0.13
根太材　　　＋大引材等　　：0.03</t>
    <rPh sb="0" eb="2">
      <t>ネダ</t>
    </rPh>
    <rPh sb="2" eb="3">
      <t>カン</t>
    </rPh>
    <rPh sb="3" eb="5">
      <t>ダンネツ</t>
    </rPh>
    <rPh sb="5" eb="6">
      <t>ザイ</t>
    </rPh>
    <rPh sb="7" eb="9">
      <t>オオビキ</t>
    </rPh>
    <rPh sb="9" eb="10">
      <t>カン</t>
    </rPh>
    <rPh sb="10" eb="13">
      <t>ダンネツザイ</t>
    </rPh>
    <rPh sb="19" eb="21">
      <t>ネダ</t>
    </rPh>
    <rPh sb="21" eb="22">
      <t>カン</t>
    </rPh>
    <rPh sb="22" eb="25">
      <t>ダンネツザイ</t>
    </rPh>
    <rPh sb="26" eb="28">
      <t>オオビキ</t>
    </rPh>
    <rPh sb="28" eb="29">
      <t>ザイ</t>
    </rPh>
    <rPh sb="29" eb="30">
      <t>トウ</t>
    </rPh>
    <rPh sb="38" eb="40">
      <t>ネダ</t>
    </rPh>
    <rPh sb="40" eb="41">
      <t>ザイ</t>
    </rPh>
    <rPh sb="45" eb="47">
      <t>オオビキ</t>
    </rPh>
    <rPh sb="47" eb="48">
      <t>カン</t>
    </rPh>
    <rPh sb="48" eb="51">
      <t>ダンネツザイ</t>
    </rPh>
    <rPh sb="57" eb="59">
      <t>ネダ</t>
    </rPh>
    <rPh sb="59" eb="60">
      <t>ザイ</t>
    </rPh>
    <rPh sb="64" eb="66">
      <t>オオビキ</t>
    </rPh>
    <rPh sb="66" eb="67">
      <t>ザイ</t>
    </rPh>
    <rPh sb="67" eb="68">
      <t>トウ</t>
    </rPh>
    <phoneticPr fontId="2"/>
  </si>
  <si>
    <t>※1～※6の示す位置は右図を参照して下さい。</t>
    <rPh sb="6" eb="7">
      <t>シメ</t>
    </rPh>
    <rPh sb="8" eb="10">
      <t>イチ</t>
    </rPh>
    <rPh sb="11" eb="13">
      <t>ミギズ</t>
    </rPh>
    <rPh sb="14" eb="16">
      <t>サンショウ</t>
    </rPh>
    <rPh sb="18" eb="19">
      <t>クダ</t>
    </rPh>
    <phoneticPr fontId="2"/>
  </si>
  <si>
    <t>ドアのU値を、メーカー仕様書・カタログ値などに基づき入力して下さい。</t>
    <rPh sb="4" eb="5">
      <t>チ</t>
    </rPh>
    <rPh sb="11" eb="14">
      <t>シヨウショ</t>
    </rPh>
    <rPh sb="19" eb="20">
      <t>チ</t>
    </rPh>
    <rPh sb="23" eb="24">
      <t>モト</t>
    </rPh>
    <rPh sb="26" eb="28">
      <t>ニュウリョク</t>
    </rPh>
    <rPh sb="30" eb="31">
      <t>クダ</t>
    </rPh>
    <phoneticPr fontId="2"/>
  </si>
  <si>
    <t>基礎断熱の場合に、基礎壁のU値を「U値」シートから転記して下さい。</t>
    <rPh sb="0" eb="2">
      <t>キソ</t>
    </rPh>
    <phoneticPr fontId="2"/>
  </si>
  <si>
    <t>床断熱の場合に、床および基礎壁のU値を「U値」シートから転記して下さい。</t>
    <rPh sb="0" eb="1">
      <t>ユカ</t>
    </rPh>
    <rPh sb="1" eb="3">
      <t>ダンネツ</t>
    </rPh>
    <rPh sb="4" eb="6">
      <t>バアイ</t>
    </rPh>
    <rPh sb="8" eb="9">
      <t>ユカ</t>
    </rPh>
    <rPh sb="12" eb="14">
      <t>キソ</t>
    </rPh>
    <rPh sb="14" eb="15">
      <t>カベ</t>
    </rPh>
    <rPh sb="17" eb="18">
      <t>チ</t>
    </rPh>
    <phoneticPr fontId="2"/>
  </si>
  <si>
    <t>面積合計A3=</t>
    <rPh sb="0" eb="2">
      <t>メンセキ</t>
    </rPh>
    <rPh sb="2" eb="4">
      <t>ゴウケイ</t>
    </rPh>
    <phoneticPr fontId="2"/>
  </si>
  <si>
    <t>（選択して下さい）</t>
  </si>
  <si>
    <t>床断熱・基礎断熱のいずれの場合も、基礎壁（立ち上がり）部分について入力して下さい。</t>
    <rPh sb="0" eb="1">
      <t>ユカ</t>
    </rPh>
    <rPh sb="1" eb="3">
      <t>ダンネツ</t>
    </rPh>
    <rPh sb="4" eb="8">
      <t>キソダンネツ</t>
    </rPh>
    <rPh sb="13" eb="15">
      <t>バアイ</t>
    </rPh>
    <rPh sb="17" eb="19">
      <t>キソ</t>
    </rPh>
    <rPh sb="19" eb="20">
      <t>カベ</t>
    </rPh>
    <rPh sb="21" eb="22">
      <t>タ</t>
    </rPh>
    <rPh sb="23" eb="24">
      <t>ア</t>
    </rPh>
    <rPh sb="27" eb="29">
      <t>ブブン</t>
    </rPh>
    <rPh sb="33" eb="35">
      <t>ニュウリョク</t>
    </rPh>
    <rPh sb="37" eb="38">
      <t>クダ</t>
    </rPh>
    <phoneticPr fontId="2"/>
  </si>
  <si>
    <t>（どの部位の断熱仕様か記入して下さい）</t>
    <rPh sb="3" eb="5">
      <t>ブイ</t>
    </rPh>
    <rPh sb="6" eb="10">
      <t>ダンネツシヨウ</t>
    </rPh>
    <rPh sb="11" eb="13">
      <t>キニュウ</t>
    </rPh>
    <rPh sb="15" eb="16">
      <t>クダ</t>
    </rPh>
    <phoneticPr fontId="2"/>
  </si>
  <si>
    <t>※A2は1階床・基礎壁・土間面積の和としています。</t>
    <rPh sb="5" eb="6">
      <t>カイ</t>
    </rPh>
    <rPh sb="6" eb="7">
      <t>ユカ</t>
    </rPh>
    <rPh sb="8" eb="10">
      <t>キソ</t>
    </rPh>
    <rPh sb="10" eb="11">
      <t>カベ</t>
    </rPh>
    <rPh sb="12" eb="14">
      <t>ドマ</t>
    </rPh>
    <rPh sb="14" eb="16">
      <t>メンセキ</t>
    </rPh>
    <rPh sb="17" eb="18">
      <t>ワ</t>
    </rPh>
    <phoneticPr fontId="2"/>
  </si>
  <si>
    <t>※A3は基礎壁・土間面積の和としています。</t>
    <rPh sb="4" eb="6">
      <t>キソ</t>
    </rPh>
    <rPh sb="6" eb="7">
      <t>カベ</t>
    </rPh>
    <rPh sb="8" eb="10">
      <t>ドマ</t>
    </rPh>
    <rPh sb="10" eb="12">
      <t>メンセキ</t>
    </rPh>
    <rPh sb="13" eb="14">
      <t>ワ</t>
    </rPh>
    <phoneticPr fontId="2"/>
  </si>
  <si>
    <r>
      <t>◆表7:窓の熱貫流率Uw[W/m</t>
    </r>
    <r>
      <rPr>
        <vertAlign val="superscript"/>
        <sz val="10"/>
        <color theme="1"/>
        <rFont val="メイリオ"/>
        <family val="3"/>
        <charset val="128"/>
      </rPr>
      <t>2</t>
    </r>
    <r>
      <rPr>
        <sz val="10"/>
        <color theme="1"/>
        <rFont val="メイリオ"/>
        <family val="3"/>
        <charset val="128"/>
      </rPr>
      <t>K]（枠の種類とガラスの仕様から計算で求める場合）</t>
    </r>
    <rPh sb="1" eb="2">
      <t>ヒョウ</t>
    </rPh>
    <rPh sb="4" eb="5">
      <t>マド</t>
    </rPh>
    <rPh sb="6" eb="7">
      <t>ネツ</t>
    </rPh>
    <rPh sb="7" eb="9">
      <t>カンリュウ</t>
    </rPh>
    <rPh sb="9" eb="10">
      <t>リツ</t>
    </rPh>
    <rPh sb="20" eb="21">
      <t>ワク</t>
    </rPh>
    <rPh sb="22" eb="24">
      <t>シュルイ</t>
    </rPh>
    <rPh sb="29" eb="31">
      <t>シヨウ</t>
    </rPh>
    <rPh sb="33" eb="35">
      <t>ケイサン</t>
    </rPh>
    <rPh sb="36" eb="37">
      <t>モト</t>
    </rPh>
    <rPh sb="39" eb="41">
      <t>バアイ</t>
    </rPh>
    <phoneticPr fontId="2"/>
  </si>
  <si>
    <r>
      <t>◆表8:ガラスの熱貫流率Ug[W/m</t>
    </r>
    <r>
      <rPr>
        <vertAlign val="superscript"/>
        <sz val="10"/>
        <color theme="1"/>
        <rFont val="メイリオ"/>
        <family val="3"/>
        <charset val="128"/>
      </rPr>
      <t>2</t>
    </r>
    <r>
      <rPr>
        <sz val="10"/>
        <color theme="1"/>
        <rFont val="メイリオ"/>
        <family val="3"/>
        <charset val="128"/>
      </rPr>
      <t>K]</t>
    </r>
    <rPh sb="1" eb="2">
      <t>ヒョウ</t>
    </rPh>
    <rPh sb="8" eb="9">
      <t>ネツ</t>
    </rPh>
    <rPh sb="9" eb="11">
      <t>カンリュウ</t>
    </rPh>
    <rPh sb="11" eb="12">
      <t>リツ</t>
    </rPh>
    <phoneticPr fontId="2"/>
  </si>
  <si>
    <t>◆表9:窓等（一重建具）の垂直面日射熱取得率（木製・樹脂製建具）</t>
    <rPh sb="1" eb="2">
      <t>ヒョウ</t>
    </rPh>
    <rPh sb="4" eb="5">
      <t>マド</t>
    </rPh>
    <rPh sb="5" eb="6">
      <t>トウ</t>
    </rPh>
    <rPh sb="7" eb="9">
      <t>イチジュウ</t>
    </rPh>
    <rPh sb="9" eb="11">
      <t>タテグ</t>
    </rPh>
    <rPh sb="13" eb="16">
      <t>スイチョクメン</t>
    </rPh>
    <rPh sb="16" eb="22">
      <t>ニッシャネツシュトクリツ</t>
    </rPh>
    <rPh sb="23" eb="25">
      <t>モクセイ</t>
    </rPh>
    <rPh sb="26" eb="29">
      <t>ジュシセイ</t>
    </rPh>
    <rPh sb="29" eb="31">
      <t>タテグ</t>
    </rPh>
    <phoneticPr fontId="2"/>
  </si>
  <si>
    <t>◆表10:窓等（一重建具）の垂直面日射熱取得率（複合材料製・金属製建具）</t>
    <rPh sb="1" eb="2">
      <t>ヒョウ</t>
    </rPh>
    <rPh sb="5" eb="6">
      <t>マド</t>
    </rPh>
    <rPh sb="6" eb="7">
      <t>トウ</t>
    </rPh>
    <rPh sb="8" eb="10">
      <t>イチジュウ</t>
    </rPh>
    <rPh sb="10" eb="12">
      <t>タテグ</t>
    </rPh>
    <rPh sb="14" eb="17">
      <t>スイチョクメン</t>
    </rPh>
    <rPh sb="17" eb="23">
      <t>ニッシャネツシュトクリツ</t>
    </rPh>
    <rPh sb="24" eb="28">
      <t>フクゴウザイリョウ</t>
    </rPh>
    <rPh sb="28" eb="29">
      <t>セイ</t>
    </rPh>
    <rPh sb="30" eb="33">
      <t>キンゾクセイ</t>
    </rPh>
    <rPh sb="33" eb="35">
      <t>タテグ</t>
    </rPh>
    <phoneticPr fontId="2"/>
  </si>
  <si>
    <t>Ver.1.0</t>
    <phoneticPr fontId="2"/>
  </si>
  <si>
    <r>
      <rPr>
        <b/>
        <sz val="12"/>
        <color rgb="FFFF0000"/>
        <rFont val="メイリオ"/>
        <family val="3"/>
        <charset val="128"/>
      </rPr>
      <t>・必ず地域区分、上部断熱位置、下部断熱位置を選択して下さい</t>
    </r>
    <r>
      <rPr>
        <sz val="12"/>
        <rFont val="メイリオ"/>
        <family val="3"/>
        <charset val="128"/>
      </rPr>
      <t>。</t>
    </r>
    <r>
      <rPr>
        <b/>
        <sz val="12"/>
        <color rgb="FFFF0000"/>
        <rFont val="メイリオ"/>
        <family val="3"/>
        <charset val="128"/>
      </rPr>
      <t>連動して以下の表の入力欄・数値等が自動的に変化します（#VALUE!, #N/Aなどのエラー値も解消されます）</t>
    </r>
    <rPh sb="1" eb="2">
      <t>カナラ</t>
    </rPh>
    <rPh sb="3" eb="5">
      <t>チイキ</t>
    </rPh>
    <rPh sb="5" eb="7">
      <t>クブン</t>
    </rPh>
    <rPh sb="8" eb="10">
      <t>ジョウブ</t>
    </rPh>
    <rPh sb="10" eb="12">
      <t>ダンネツ</t>
    </rPh>
    <rPh sb="12" eb="14">
      <t>イチ</t>
    </rPh>
    <rPh sb="15" eb="17">
      <t>カブ</t>
    </rPh>
    <rPh sb="17" eb="19">
      <t>ダンネツ</t>
    </rPh>
    <rPh sb="19" eb="21">
      <t>イチ</t>
    </rPh>
    <rPh sb="22" eb="24">
      <t>センタク</t>
    </rPh>
    <rPh sb="26" eb="27">
      <t>クダ</t>
    </rPh>
    <rPh sb="30" eb="32">
      <t>レンドウ</t>
    </rPh>
    <rPh sb="34" eb="36">
      <t>イカ</t>
    </rPh>
    <rPh sb="37" eb="38">
      <t>ヒョウ</t>
    </rPh>
    <rPh sb="39" eb="42">
      <t>ニュウリョクラン</t>
    </rPh>
    <rPh sb="43" eb="45">
      <t>スウチ</t>
    </rPh>
    <rPh sb="45" eb="46">
      <t>トウ</t>
    </rPh>
    <rPh sb="47" eb="50">
      <t>ジドウテキ</t>
    </rPh>
    <rPh sb="51" eb="53">
      <t>ヘンカ</t>
    </rPh>
    <rPh sb="76" eb="77">
      <t>チ</t>
    </rPh>
    <rPh sb="78" eb="80">
      <t>カイショウ</t>
    </rPh>
    <phoneticPr fontId="2"/>
  </si>
  <si>
    <r>
      <t>・屋根断熱の場合に、屋根および外壁のU値を転記して下さい。
・</t>
    </r>
    <r>
      <rPr>
        <b/>
        <sz val="12"/>
        <color rgb="FFFF0000"/>
        <rFont val="メイリオ"/>
        <family val="3"/>
        <charset val="128"/>
      </rPr>
      <t>方位が「上」となっている行は屋根、「東西南北」となっている行は外壁（妻壁）です。屋根のU値を一律で転記しないようにご注意下さい。</t>
    </r>
    <r>
      <rPr>
        <sz val="12"/>
        <rFont val="メイリオ"/>
        <family val="3"/>
        <charset val="128"/>
      </rPr>
      <t xml:space="preserve">
（※モデル建物は切妻屋根を想定しています）</t>
    </r>
    <rPh sb="1" eb="3">
      <t>ヤネ</t>
    </rPh>
    <rPh sb="3" eb="5">
      <t>ダンネツ</t>
    </rPh>
    <rPh sb="6" eb="8">
      <t>バアイ</t>
    </rPh>
    <rPh sb="10" eb="12">
      <t>ヤネ</t>
    </rPh>
    <rPh sb="15" eb="17">
      <t>ガイヘキ</t>
    </rPh>
    <rPh sb="19" eb="20">
      <t>チ</t>
    </rPh>
    <rPh sb="21" eb="23">
      <t>テンキ</t>
    </rPh>
    <rPh sb="25" eb="26">
      <t>クダ</t>
    </rPh>
    <rPh sb="31" eb="33">
      <t>ホウイ</t>
    </rPh>
    <rPh sb="35" eb="36">
      <t>ウエ</t>
    </rPh>
    <rPh sb="43" eb="44">
      <t>ギョウ</t>
    </rPh>
    <rPh sb="45" eb="47">
      <t>ヤネ</t>
    </rPh>
    <rPh sb="49" eb="51">
      <t>トウザイ</t>
    </rPh>
    <rPh sb="51" eb="53">
      <t>ナンボク</t>
    </rPh>
    <rPh sb="60" eb="61">
      <t>ギョウ</t>
    </rPh>
    <rPh sb="62" eb="64">
      <t>ガイヘキ</t>
    </rPh>
    <rPh sb="65" eb="67">
      <t>ツマカベ</t>
    </rPh>
    <rPh sb="71" eb="73">
      <t>ヤネ</t>
    </rPh>
    <rPh sb="75" eb="76">
      <t>チ</t>
    </rPh>
    <rPh sb="77" eb="79">
      <t>イチリツ</t>
    </rPh>
    <rPh sb="80" eb="82">
      <t>テンキ</t>
    </rPh>
    <rPh sb="89" eb="91">
      <t>チュウイ</t>
    </rPh>
    <rPh sb="91" eb="92">
      <t>クダ</t>
    </rPh>
    <rPh sb="101" eb="103">
      <t>タテモノ</t>
    </rPh>
    <rPh sb="104" eb="105">
      <t>キ</t>
    </rPh>
    <rPh sb="105" eb="106">
      <t>ツマ</t>
    </rPh>
    <rPh sb="106" eb="108">
      <t>ヤネ</t>
    </rPh>
    <rPh sb="109" eb="111">
      <t>ソウテイ</t>
    </rPh>
    <phoneticPr fontId="2"/>
  </si>
  <si>
    <t xml:space="preserve">窓のU値およびηd値を、付録シート表7～表10またはメーカー仕様書・カタログ値などに基づき入力して下さい。
</t>
    <rPh sb="0" eb="1">
      <t>マド</t>
    </rPh>
    <rPh sb="3" eb="4">
      <t>チ</t>
    </rPh>
    <rPh sb="9" eb="10">
      <t>チ</t>
    </rPh>
    <rPh sb="12" eb="14">
      <t>フロク</t>
    </rPh>
    <rPh sb="17" eb="18">
      <t>ヒョウ</t>
    </rPh>
    <rPh sb="20" eb="21">
      <t>ヒョウ</t>
    </rPh>
    <rPh sb="30" eb="33">
      <t>シヨウショ</t>
    </rPh>
    <rPh sb="38" eb="39">
      <t>チ</t>
    </rPh>
    <rPh sb="42" eb="43">
      <t>モト</t>
    </rPh>
    <rPh sb="45" eb="47">
      <t>ニュウリョク</t>
    </rPh>
    <rPh sb="49" eb="50">
      <t>クダ</t>
    </rPh>
    <phoneticPr fontId="2"/>
  </si>
  <si>
    <t>1.0以上2.0未満</t>
    <rPh sb="3" eb="5">
      <t>イジョウ</t>
    </rPh>
    <rPh sb="8" eb="10">
      <t>ミマン</t>
    </rPh>
    <phoneticPr fontId="2"/>
  </si>
  <si>
    <t>2.0以上3.0未満</t>
    <rPh sb="3" eb="5">
      <t>イジョウ</t>
    </rPh>
    <rPh sb="8" eb="10">
      <t>ミマン</t>
    </rPh>
    <phoneticPr fontId="2"/>
  </si>
  <si>
    <t>3.0以上4.0未満</t>
    <rPh sb="3" eb="5">
      <t>イジョウ</t>
    </rPh>
    <rPh sb="8" eb="10">
      <t>ミマン</t>
    </rPh>
    <phoneticPr fontId="2"/>
  </si>
  <si>
    <t>4.0以上5.0未満</t>
    <rPh sb="3" eb="5">
      <t>イジョウ</t>
    </rPh>
    <rPh sb="8" eb="10">
      <t>ミマン</t>
    </rPh>
    <phoneticPr fontId="2"/>
  </si>
  <si>
    <t>5.0以上10.0以下</t>
    <rPh sb="3" eb="5">
      <t>イジョウ</t>
    </rPh>
    <rPh sb="9" eb="11">
      <t>イカ</t>
    </rPh>
    <phoneticPr fontId="2"/>
  </si>
  <si>
    <t>300以上450未満</t>
    <rPh sb="3" eb="5">
      <t>イジョウ</t>
    </rPh>
    <rPh sb="8" eb="10">
      <t>ミマン</t>
    </rPh>
    <phoneticPr fontId="2"/>
  </si>
  <si>
    <t>450以上900未満</t>
    <rPh sb="3" eb="5">
      <t>イジョウ</t>
    </rPh>
    <rPh sb="8" eb="10">
      <t>ミマン</t>
    </rPh>
    <phoneticPr fontId="2"/>
  </si>
  <si>
    <t>900以上</t>
    <rPh sb="3" eb="5">
      <t>イジョウ</t>
    </rPh>
    <phoneticPr fontId="2"/>
  </si>
  <si>
    <t>300未満</t>
    <rPh sb="3" eb="5">
      <t>ミマン</t>
    </rPh>
    <phoneticPr fontId="2"/>
  </si>
  <si>
    <t>1.0未満</t>
    <rPh sb="3" eb="5">
      <t>ミマン</t>
    </rPh>
    <phoneticPr fontId="2"/>
  </si>
  <si>
    <t>布基礎・土間上</t>
    <rPh sb="0" eb="3">
      <t>ヌノキソ</t>
    </rPh>
    <rPh sb="4" eb="6">
      <t>ドマ</t>
    </rPh>
    <rPh sb="6" eb="7">
      <t>ウエ</t>
    </rPh>
    <phoneticPr fontId="2"/>
  </si>
  <si>
    <t>基礎形状・断熱位置</t>
    <rPh sb="0" eb="2">
      <t>キソ</t>
    </rPh>
    <rPh sb="2" eb="4">
      <t>ケイジョウ</t>
    </rPh>
    <rPh sb="5" eb="7">
      <t>ダンネツ</t>
    </rPh>
    <rPh sb="7" eb="9">
      <t>イチ</t>
    </rPh>
    <phoneticPr fontId="2"/>
  </si>
  <si>
    <t>◆基礎および土間外周の線熱貫流率</t>
    <rPh sb="1" eb="3">
      <t>キソ</t>
    </rPh>
    <rPh sb="6" eb="8">
      <t>ドマ</t>
    </rPh>
    <rPh sb="8" eb="10">
      <t>ガイシュウ</t>
    </rPh>
    <rPh sb="11" eb="12">
      <t>セン</t>
    </rPh>
    <rPh sb="12" eb="16">
      <t>ネツカンリュウリツ</t>
    </rPh>
    <phoneticPr fontId="2"/>
  </si>
  <si>
    <t>無断熱を含む1.0未満</t>
    <rPh sb="0" eb="3">
      <t>ムダンネツ</t>
    </rPh>
    <rPh sb="4" eb="5">
      <t>フク</t>
    </rPh>
    <rPh sb="9" eb="11">
      <t>ミマン</t>
    </rPh>
    <phoneticPr fontId="2"/>
  </si>
  <si>
    <t>布基礎・土間下</t>
    <rPh sb="0" eb="3">
      <t>ヌノキソ</t>
    </rPh>
    <rPh sb="4" eb="6">
      <t>ドマ</t>
    </rPh>
    <rPh sb="6" eb="7">
      <t>シタ</t>
    </rPh>
    <phoneticPr fontId="2"/>
  </si>
  <si>
    <t>べた基礎・土間上</t>
    <rPh sb="2" eb="4">
      <t>キソ</t>
    </rPh>
    <rPh sb="5" eb="7">
      <t>ドマ</t>
    </rPh>
    <rPh sb="7" eb="8">
      <t>ウエ</t>
    </rPh>
    <phoneticPr fontId="2"/>
  </si>
  <si>
    <t>べた基礎・土間下</t>
    <rPh sb="2" eb="4">
      <t>キソ</t>
    </rPh>
    <rPh sb="5" eb="7">
      <t>ドマ</t>
    </rPh>
    <rPh sb="7" eb="8">
      <t>シタ</t>
    </rPh>
    <phoneticPr fontId="2"/>
  </si>
  <si>
    <t>べた基礎・土間上断熱</t>
    <rPh sb="2" eb="4">
      <t>キソ</t>
    </rPh>
    <rPh sb="5" eb="7">
      <t>ドマ</t>
    </rPh>
    <rPh sb="7" eb="8">
      <t>ウエ</t>
    </rPh>
    <rPh sb="8" eb="10">
      <t>ダンネツ</t>
    </rPh>
    <phoneticPr fontId="2"/>
  </si>
  <si>
    <t>べた基礎・土間下断熱</t>
    <rPh sb="2" eb="4">
      <t>キソ</t>
    </rPh>
    <rPh sb="5" eb="7">
      <t>ドマ</t>
    </rPh>
    <rPh sb="7" eb="8">
      <t>シタ</t>
    </rPh>
    <rPh sb="8" eb="10">
      <t>ダンネツ</t>
    </rPh>
    <phoneticPr fontId="2"/>
  </si>
  <si>
    <t>布基礎・土間上断熱</t>
    <rPh sb="0" eb="3">
      <t>ヌノキソ</t>
    </rPh>
    <rPh sb="4" eb="6">
      <t>ドマ</t>
    </rPh>
    <rPh sb="6" eb="7">
      <t>ウエ</t>
    </rPh>
    <rPh sb="7" eb="9">
      <t>ダンネツ</t>
    </rPh>
    <phoneticPr fontId="2"/>
  </si>
  <si>
    <t>布基礎・土間下断熱</t>
    <rPh sb="0" eb="3">
      <t>ヌノキソ</t>
    </rPh>
    <rPh sb="4" eb="6">
      <t>ドマ</t>
    </rPh>
    <rPh sb="6" eb="7">
      <t>シタ</t>
    </rPh>
    <rPh sb="7" eb="9">
      <t>ダンネツ</t>
    </rPh>
    <phoneticPr fontId="2"/>
  </si>
  <si>
    <t>基礎形状</t>
    <rPh sb="0" eb="2">
      <t>キソ</t>
    </rPh>
    <rPh sb="2" eb="4">
      <t>ケイジョウ</t>
    </rPh>
    <phoneticPr fontId="2"/>
  </si>
  <si>
    <t>M</t>
    <phoneticPr fontId="2"/>
  </si>
  <si>
    <t>算出されたU値を、「UA値等」シートの「◆天井断熱の場合の天井」または「◆屋根断熱の場合の屋根」のU値セルに転記して下さい。</t>
    <rPh sb="0" eb="2">
      <t>サンシュツ</t>
    </rPh>
    <rPh sb="6" eb="7">
      <t>チ</t>
    </rPh>
    <rPh sb="21" eb="25">
      <t>テンジョウダンネツ</t>
    </rPh>
    <rPh sb="26" eb="28">
      <t>バアイ</t>
    </rPh>
    <rPh sb="29" eb="31">
      <t>テンジョウ</t>
    </rPh>
    <rPh sb="50" eb="51">
      <t>チ</t>
    </rPh>
    <phoneticPr fontId="2"/>
  </si>
  <si>
    <t>算出されたU値を、「UA値等」シートの「◆外壁」および「◆屋根断熱の場合の妻壁」のU値セルに転記して下さい。</t>
    <rPh sb="0" eb="2">
      <t>サンシュツ</t>
    </rPh>
    <rPh sb="6" eb="7">
      <t>チ</t>
    </rPh>
    <rPh sb="21" eb="23">
      <t>ガイヘキ</t>
    </rPh>
    <rPh sb="42" eb="43">
      <t>チ</t>
    </rPh>
    <phoneticPr fontId="2"/>
  </si>
  <si>
    <t>1階床を床断熱としている場合に入力して下さい。1階全体が基礎断熱の場合は入力する必要はありません。</t>
    <rPh sb="1" eb="2">
      <t>カイ</t>
    </rPh>
    <rPh sb="2" eb="3">
      <t>ユカ</t>
    </rPh>
    <rPh sb="4" eb="7">
      <t>ユカダンネツ</t>
    </rPh>
    <rPh sb="12" eb="14">
      <t>バアイ</t>
    </rPh>
    <rPh sb="15" eb="17">
      <t>ニュウリョク</t>
    </rPh>
    <rPh sb="19" eb="20">
      <t>クダ</t>
    </rPh>
    <rPh sb="24" eb="25">
      <t>カイ</t>
    </rPh>
    <rPh sb="25" eb="27">
      <t>ゼンタイ</t>
    </rPh>
    <rPh sb="28" eb="30">
      <t>キソ</t>
    </rPh>
    <rPh sb="30" eb="32">
      <t>ダンネツ</t>
    </rPh>
    <rPh sb="33" eb="35">
      <t>バアイ</t>
    </rPh>
    <rPh sb="36" eb="38">
      <t>ニュウリョク</t>
    </rPh>
    <rPh sb="40" eb="42">
      <t>ヒツヨウ</t>
    </rPh>
    <phoneticPr fontId="2"/>
  </si>
  <si>
    <t>算出されたU値を、「UA値等」シートの「◆床断熱の場合の床」のU値セルに転記して下さい</t>
    <rPh sb="0" eb="2">
      <t>サンシュツ</t>
    </rPh>
    <rPh sb="6" eb="7">
      <t>チ</t>
    </rPh>
    <rPh sb="12" eb="13">
      <t>チ</t>
    </rPh>
    <rPh sb="13" eb="14">
      <t>トウ</t>
    </rPh>
    <rPh sb="21" eb="22">
      <t>ユカ</t>
    </rPh>
    <rPh sb="22" eb="24">
      <t>ダンネツ</t>
    </rPh>
    <rPh sb="25" eb="27">
      <t>バアイ</t>
    </rPh>
    <rPh sb="28" eb="29">
      <t>ユカ</t>
    </rPh>
    <rPh sb="32" eb="33">
      <t>チ</t>
    </rPh>
    <rPh sb="36" eb="38">
      <t>テンキ</t>
    </rPh>
    <rPh sb="40" eb="41">
      <t>クダ</t>
    </rPh>
    <phoneticPr fontId="2"/>
  </si>
  <si>
    <t>算出されたU値を、「UA値等」シートの「◆床断熱の場合の基礎壁」または「◆基礎断熱の場合の基礎壁」のU値セルに転記して下さい</t>
    <rPh sb="0" eb="2">
      <t>サンシュツ</t>
    </rPh>
    <rPh sb="6" eb="7">
      <t>チ</t>
    </rPh>
    <rPh sb="12" eb="13">
      <t>チ</t>
    </rPh>
    <rPh sb="13" eb="14">
      <t>トウ</t>
    </rPh>
    <rPh sb="21" eb="24">
      <t>ユカダンネツ</t>
    </rPh>
    <rPh sb="25" eb="27">
      <t>バアイ</t>
    </rPh>
    <rPh sb="28" eb="30">
      <t>キソ</t>
    </rPh>
    <rPh sb="30" eb="31">
      <t>カベ</t>
    </rPh>
    <rPh sb="37" eb="41">
      <t>キソダンネツ</t>
    </rPh>
    <rPh sb="42" eb="44">
      <t>バアイ</t>
    </rPh>
    <rPh sb="45" eb="47">
      <t>キソ</t>
    </rPh>
    <rPh sb="47" eb="48">
      <t>カベ</t>
    </rPh>
    <rPh sb="51" eb="52">
      <t>チ</t>
    </rPh>
    <rPh sb="55" eb="57">
      <t>テンキ</t>
    </rPh>
    <rPh sb="59" eb="60">
      <t>クダ</t>
    </rPh>
    <phoneticPr fontId="2"/>
  </si>
  <si>
    <t>赤太枠のセルは「UA値等」シートのU値セルに転記する値です。</t>
    <rPh sb="0" eb="1">
      <t>アカ</t>
    </rPh>
    <rPh sb="1" eb="3">
      <t>フトワク</t>
    </rPh>
    <rPh sb="10" eb="11">
      <t>チ</t>
    </rPh>
    <rPh sb="11" eb="12">
      <t>トウ</t>
    </rPh>
    <rPh sb="18" eb="19">
      <t>チ</t>
    </rPh>
    <rPh sb="22" eb="24">
      <t>テンキ</t>
    </rPh>
    <rPh sb="26" eb="27">
      <t>アタイ</t>
    </rPh>
    <phoneticPr fontId="2"/>
  </si>
  <si>
    <t>計算方法は、省エネルギー基準技術資料
https://www.kenken.go.jp/becc/documents/house/3-3_250401_v24.pdf
に従って下さい。U値は原則として「面積比率法」で計算し、熱橋比率は部位ごとの一般的な値に従って下さい（付録シート表3～表6参照）。</t>
    <rPh sb="0" eb="2">
      <t>ケイサン</t>
    </rPh>
    <rPh sb="2" eb="4">
      <t>ホウホウ</t>
    </rPh>
    <rPh sb="6" eb="7">
      <t>ショウ</t>
    </rPh>
    <rPh sb="12" eb="14">
      <t>キジュン</t>
    </rPh>
    <rPh sb="14" eb="18">
      <t>ギジュツシリョウ</t>
    </rPh>
    <rPh sb="85" eb="86">
      <t>シタガ</t>
    </rPh>
    <rPh sb="88" eb="89">
      <t>クダ</t>
    </rPh>
    <rPh sb="93" eb="94">
      <t>チ</t>
    </rPh>
    <rPh sb="95" eb="97">
      <t>ゲンソク</t>
    </rPh>
    <rPh sb="101" eb="103">
      <t>メンセキ</t>
    </rPh>
    <rPh sb="103" eb="105">
      <t>ヒリツ</t>
    </rPh>
    <rPh sb="105" eb="106">
      <t>ホウ</t>
    </rPh>
    <rPh sb="108" eb="110">
      <t>ケイサン</t>
    </rPh>
    <rPh sb="112" eb="113">
      <t>ネツ</t>
    </rPh>
    <rPh sb="113" eb="114">
      <t>ハシ</t>
    </rPh>
    <rPh sb="114" eb="116">
      <t>ヒリツ</t>
    </rPh>
    <rPh sb="117" eb="119">
      <t>ブイ</t>
    </rPh>
    <rPh sb="122" eb="125">
      <t>イッパンテキ</t>
    </rPh>
    <rPh sb="126" eb="127">
      <t>アタイ</t>
    </rPh>
    <rPh sb="128" eb="129">
      <t>シタガ</t>
    </rPh>
    <rPh sb="131" eb="132">
      <t>クダ</t>
    </rPh>
    <rPh sb="135" eb="137">
      <t>フロク</t>
    </rPh>
    <rPh sb="140" eb="141">
      <t>ヒョウ</t>
    </rPh>
    <rPh sb="143" eb="144">
      <t>ヒョウ</t>
    </rPh>
    <rPh sb="145" eb="147">
      <t>サンショウ</t>
    </rPh>
    <phoneticPr fontId="2"/>
  </si>
  <si>
    <t>記入例を参考に、応募するシリーズにおける標準的な断熱仕様の外壁のU値を計算して下さい。</t>
    <rPh sb="0" eb="3">
      <t>キニュウレイ</t>
    </rPh>
    <rPh sb="4" eb="6">
      <t>サンコウ</t>
    </rPh>
    <rPh sb="8" eb="10">
      <t>オウボ</t>
    </rPh>
    <rPh sb="20" eb="23">
      <t>ヒョウジュンテキ</t>
    </rPh>
    <rPh sb="24" eb="28">
      <t>ダンネツシヨウ</t>
    </rPh>
    <rPh sb="29" eb="31">
      <t>ガイヘキ</t>
    </rPh>
    <rPh sb="33" eb="34">
      <t>チ</t>
    </rPh>
    <rPh sb="35" eb="37">
      <t>ケイサン</t>
    </rPh>
    <rPh sb="39" eb="40">
      <t>クダ</t>
    </rPh>
    <phoneticPr fontId="2"/>
  </si>
  <si>
    <t>記入例を参考に、応募するシリーズにおける標準的な断熱仕様の天井または屋根のU値を計算して下さい。</t>
    <rPh sb="0" eb="3">
      <t>キニュウレイ</t>
    </rPh>
    <rPh sb="4" eb="6">
      <t>サンコウ</t>
    </rPh>
    <rPh sb="8" eb="10">
      <t>オウボ</t>
    </rPh>
    <rPh sb="20" eb="23">
      <t>ヒョウジュンテキ</t>
    </rPh>
    <rPh sb="24" eb="28">
      <t>ダンネツシヨウ</t>
    </rPh>
    <rPh sb="29" eb="31">
      <t>テンジョウ</t>
    </rPh>
    <rPh sb="34" eb="36">
      <t>ヤネ</t>
    </rPh>
    <rPh sb="38" eb="39">
      <t>チ</t>
    </rPh>
    <rPh sb="40" eb="42">
      <t>ケイサン</t>
    </rPh>
    <rPh sb="44" eb="45">
      <t>クダ</t>
    </rPh>
    <phoneticPr fontId="2"/>
  </si>
  <si>
    <t>記入例を参考に、応募するシリーズにおける標準的な断熱仕様の床のU値を計算して下さい。</t>
    <rPh sb="0" eb="3">
      <t>キニュウレイ</t>
    </rPh>
    <rPh sb="4" eb="6">
      <t>サンコウ</t>
    </rPh>
    <rPh sb="8" eb="10">
      <t>オウボ</t>
    </rPh>
    <rPh sb="20" eb="23">
      <t>ヒョウジュンテキ</t>
    </rPh>
    <rPh sb="24" eb="28">
      <t>ダンネツシヨウ</t>
    </rPh>
    <rPh sb="29" eb="30">
      <t>ユカ</t>
    </rPh>
    <rPh sb="32" eb="33">
      <t>チ</t>
    </rPh>
    <rPh sb="34" eb="36">
      <t>ケイサン</t>
    </rPh>
    <rPh sb="38" eb="39">
      <t>クダ</t>
    </rPh>
    <phoneticPr fontId="2"/>
  </si>
  <si>
    <t>◆基礎壁（基礎立ち上がり）</t>
    <rPh sb="1" eb="3">
      <t>キソ</t>
    </rPh>
    <rPh sb="3" eb="4">
      <t>カベ</t>
    </rPh>
    <rPh sb="5" eb="7">
      <t>キソ</t>
    </rPh>
    <rPh sb="7" eb="8">
      <t>タ</t>
    </rPh>
    <rPh sb="9" eb="10">
      <t>ア</t>
    </rPh>
    <phoneticPr fontId="2"/>
  </si>
  <si>
    <t>記入例を参考に、応募するシリーズにおける標準的な断熱仕様の基礎壁のU値を計算して下さい。</t>
    <rPh sb="0" eb="3">
      <t>キニュウレイ</t>
    </rPh>
    <rPh sb="4" eb="6">
      <t>サンコウ</t>
    </rPh>
    <rPh sb="8" eb="10">
      <t>オウボ</t>
    </rPh>
    <rPh sb="20" eb="23">
      <t>ヒョウジュンテキ</t>
    </rPh>
    <rPh sb="24" eb="28">
      <t>ダンネツシヨウ</t>
    </rPh>
    <rPh sb="29" eb="31">
      <t>キソ</t>
    </rPh>
    <rPh sb="31" eb="32">
      <t>カベ</t>
    </rPh>
    <rPh sb="34" eb="35">
      <t>チ</t>
    </rPh>
    <rPh sb="36" eb="38">
      <t>ケイサン</t>
    </rPh>
    <rPh sb="40" eb="41">
      <t>クダ</t>
    </rPh>
    <phoneticPr fontId="2"/>
  </si>
  <si>
    <t>◆（予備1）</t>
    <rPh sb="2" eb="4">
      <t>ヨビ</t>
    </rPh>
    <phoneticPr fontId="2"/>
  </si>
  <si>
    <t>算出されたU値を、「UA値等」シートの該当する部位のU値セルに転記して下さい</t>
    <rPh sb="0" eb="2">
      <t>サンシュツ</t>
    </rPh>
    <rPh sb="6" eb="7">
      <t>チ</t>
    </rPh>
    <rPh sb="12" eb="13">
      <t>チ</t>
    </rPh>
    <rPh sb="13" eb="14">
      <t>トウ</t>
    </rPh>
    <rPh sb="19" eb="21">
      <t>ガイトウ</t>
    </rPh>
    <rPh sb="23" eb="25">
      <t>ブイ</t>
    </rPh>
    <rPh sb="27" eb="28">
      <t>チ</t>
    </rPh>
    <rPh sb="31" eb="33">
      <t>テンキ</t>
    </rPh>
    <rPh sb="35" eb="36">
      <t>クダ</t>
    </rPh>
    <phoneticPr fontId="2"/>
  </si>
  <si>
    <t>Q</t>
    <phoneticPr fontId="2"/>
  </si>
  <si>
    <t>N/O</t>
    <phoneticPr fontId="2"/>
  </si>
  <si>
    <t>S</t>
    <phoneticPr fontId="2"/>
  </si>
  <si>
    <t>N/R</t>
    <phoneticPr fontId="2"/>
  </si>
  <si>
    <t>T/R</t>
    <phoneticPr fontId="2"/>
  </si>
  <si>
    <t>Mの選択肢</t>
    <rPh sb="2" eb="5">
      <t>センタクシ</t>
    </rPh>
    <phoneticPr fontId="2"/>
  </si>
  <si>
    <r>
      <t>[m</t>
    </r>
    <r>
      <rPr>
        <vertAlign val="superscript"/>
        <sz val="10"/>
        <color theme="1"/>
        <rFont val="メイリオ"/>
        <family val="3"/>
        <charset val="128"/>
      </rPr>
      <t>2</t>
    </r>
    <r>
      <rPr>
        <sz val="10"/>
        <color theme="1"/>
        <rFont val="メイリオ"/>
        <family val="3"/>
        <charset val="128"/>
      </rPr>
      <t>K/W]</t>
    </r>
    <phoneticPr fontId="2"/>
  </si>
  <si>
    <t>[mm]</t>
    <phoneticPr fontId="2"/>
  </si>
  <si>
    <t>M:基礎壁外側の断熱材の熱抵抗</t>
    <rPh sb="2" eb="4">
      <t>キソ</t>
    </rPh>
    <rPh sb="4" eb="5">
      <t>カベ</t>
    </rPh>
    <rPh sb="5" eb="7">
      <t>ソトガワ</t>
    </rPh>
    <rPh sb="8" eb="11">
      <t>ダンネツザイ</t>
    </rPh>
    <rPh sb="12" eb="13">
      <t>ネツ</t>
    </rPh>
    <rPh sb="13" eb="15">
      <t>テイコウ</t>
    </rPh>
    <phoneticPr fontId="2"/>
  </si>
  <si>
    <t>NTの選択肢</t>
    <rPh sb="3" eb="6">
      <t>センタクシ</t>
    </rPh>
    <phoneticPr fontId="2"/>
  </si>
  <si>
    <t>（選択して下さい）</t>
    <rPh sb="1" eb="3">
      <t>センタク</t>
    </rPh>
    <rPh sb="5" eb="6">
      <t>クダ</t>
    </rPh>
    <phoneticPr fontId="2"/>
  </si>
  <si>
    <t>QSの選択肢</t>
    <rPh sb="3" eb="6">
      <t>センタクシ</t>
    </rPh>
    <phoneticPr fontId="2"/>
  </si>
  <si>
    <t>ORの選択肢</t>
    <rPh sb="3" eb="6">
      <t>センタクシ</t>
    </rPh>
    <phoneticPr fontId="2"/>
  </si>
  <si>
    <t>一つの住宅において複数の外壁断熱仕様を用いる場合は、下部の「◆予備」欄に入力して下さい（外壁以外も同様）</t>
    <rPh sb="0" eb="1">
      <t>ヒト</t>
    </rPh>
    <rPh sb="3" eb="5">
      <t>ジュウタク</t>
    </rPh>
    <rPh sb="9" eb="11">
      <t>フクスウ</t>
    </rPh>
    <rPh sb="12" eb="14">
      <t>ガイヘキ</t>
    </rPh>
    <rPh sb="14" eb="16">
      <t>ダンネツ</t>
    </rPh>
    <rPh sb="16" eb="18">
      <t>シヨウ</t>
    </rPh>
    <rPh sb="19" eb="20">
      <t>モチ</t>
    </rPh>
    <rPh sb="22" eb="24">
      <t>バアイ</t>
    </rPh>
    <rPh sb="26" eb="28">
      <t>カブ</t>
    </rPh>
    <rPh sb="31" eb="33">
      <t>ヨビ</t>
    </rPh>
    <rPh sb="34" eb="35">
      <t>ラン</t>
    </rPh>
    <rPh sb="36" eb="38">
      <t>ニュウリョク</t>
    </rPh>
    <rPh sb="40" eb="41">
      <t>クダ</t>
    </rPh>
    <rPh sb="44" eb="46">
      <t>ガイヘキ</t>
    </rPh>
    <rPh sb="46" eb="48">
      <t>イガイ</t>
    </rPh>
    <rPh sb="49" eb="51">
      <t>ドウヨウ</t>
    </rPh>
    <phoneticPr fontId="2"/>
  </si>
  <si>
    <t>Ψ値（線熱貫流率）[W/mK]</t>
    <rPh sb="1" eb="2">
      <t>チ</t>
    </rPh>
    <rPh sb="3" eb="4">
      <t>セン</t>
    </rPh>
    <rPh sb="4" eb="5">
      <t>ネツ</t>
    </rPh>
    <rPh sb="5" eb="7">
      <t>カンリュウ</t>
    </rPh>
    <rPh sb="7" eb="8">
      <t>リツ</t>
    </rPh>
    <phoneticPr fontId="2"/>
  </si>
  <si>
    <t>◆基礎および土間外周の線熱貫流率（予備1）</t>
    <rPh sb="1" eb="3">
      <t>キソ</t>
    </rPh>
    <rPh sb="6" eb="8">
      <t>ドマ</t>
    </rPh>
    <rPh sb="8" eb="10">
      <t>ガイシュウ</t>
    </rPh>
    <rPh sb="11" eb="12">
      <t>セン</t>
    </rPh>
    <rPh sb="12" eb="16">
      <t>ネツカンリュウリツ</t>
    </rPh>
    <rPh sb="17" eb="19">
      <t>ヨビ</t>
    </rPh>
    <phoneticPr fontId="2"/>
  </si>
  <si>
    <t>◆基礎および土間外周の線熱貫流率（予備2）</t>
    <rPh sb="1" eb="3">
      <t>キソ</t>
    </rPh>
    <rPh sb="6" eb="8">
      <t>ドマ</t>
    </rPh>
    <rPh sb="8" eb="10">
      <t>ガイシュウ</t>
    </rPh>
    <rPh sb="11" eb="12">
      <t>セン</t>
    </rPh>
    <rPh sb="12" eb="16">
      <t>ネツカンリュウリツ</t>
    </rPh>
    <rPh sb="17" eb="19">
      <t>ヨビ</t>
    </rPh>
    <phoneticPr fontId="2"/>
  </si>
  <si>
    <t>◆（予備2）</t>
    <rPh sb="2" eb="4">
      <t>ヨビ</t>
    </rPh>
    <phoneticPr fontId="2"/>
  </si>
  <si>
    <t>◆（予備3）</t>
    <rPh sb="2" eb="4">
      <t>ヨビ</t>
    </rPh>
    <phoneticPr fontId="2"/>
  </si>
  <si>
    <t>算出されたΨ値を、「UA値等」シートの該当する部位のΨ値セルに転記して下さい。ただし、あらかじめ入力されている数値（0.99）とすることもできます。</t>
    <rPh sb="0" eb="2">
      <t>サンシュツ</t>
    </rPh>
    <rPh sb="6" eb="7">
      <t>チ</t>
    </rPh>
    <rPh sb="12" eb="13">
      <t>チ</t>
    </rPh>
    <rPh sb="13" eb="14">
      <t>トウ</t>
    </rPh>
    <rPh sb="19" eb="21">
      <t>ガイトウ</t>
    </rPh>
    <rPh sb="23" eb="25">
      <t>ブイ</t>
    </rPh>
    <rPh sb="27" eb="28">
      <t>チ</t>
    </rPh>
    <rPh sb="31" eb="33">
      <t>テンキ</t>
    </rPh>
    <rPh sb="35" eb="36">
      <t>クダ</t>
    </rPh>
    <rPh sb="48" eb="50">
      <t>ニュウリョク</t>
    </rPh>
    <rPh sb="55" eb="57">
      <t>スウチ</t>
    </rPh>
    <phoneticPr fontId="2"/>
  </si>
  <si>
    <r>
      <t>熱抵抗Rのセルは、数式または数値を入力して下さい。
　（一般材料）</t>
    </r>
    <r>
      <rPr>
        <b/>
        <sz val="10"/>
        <color rgb="FFFF0000"/>
        <rFont val="メイリオ"/>
        <family val="3"/>
        <charset val="128"/>
      </rPr>
      <t>熱抵抗R=材料厚さ[mm]÷1000÷熱伝導率[W/mK]</t>
    </r>
    <r>
      <rPr>
        <sz val="10"/>
        <rFont val="メイリオ"/>
        <family val="3"/>
        <charset val="128"/>
      </rPr>
      <t xml:space="preserve">
　（面材で密閉された中空層）熱抵抗R=0.09
当該材料が存在しない欄は空白として下さい（左の例では罫線を引いています）。</t>
    </r>
    <rPh sb="0" eb="1">
      <t>ネツ</t>
    </rPh>
    <rPh sb="1" eb="3">
      <t>テイコウ</t>
    </rPh>
    <rPh sb="9" eb="11">
      <t>スウシキ</t>
    </rPh>
    <rPh sb="14" eb="16">
      <t>スウチ</t>
    </rPh>
    <rPh sb="17" eb="19">
      <t>ニュウリョク</t>
    </rPh>
    <rPh sb="21" eb="22">
      <t>クダ</t>
    </rPh>
    <rPh sb="28" eb="30">
      <t>イッパン</t>
    </rPh>
    <rPh sb="30" eb="32">
      <t>ザイリョウ</t>
    </rPh>
    <rPh sb="33" eb="34">
      <t>ネツ</t>
    </rPh>
    <rPh sb="34" eb="36">
      <t>テイコウ</t>
    </rPh>
    <rPh sb="38" eb="40">
      <t>ザイリョウ</t>
    </rPh>
    <rPh sb="40" eb="41">
      <t>アツ</t>
    </rPh>
    <rPh sb="52" eb="53">
      <t>ネツ</t>
    </rPh>
    <rPh sb="53" eb="56">
      <t>デンドウリツ</t>
    </rPh>
    <rPh sb="65" eb="67">
      <t>メンザイ</t>
    </rPh>
    <rPh sb="68" eb="70">
      <t>ミッペイ</t>
    </rPh>
    <rPh sb="73" eb="75">
      <t>チュウクウ</t>
    </rPh>
    <rPh sb="75" eb="76">
      <t>ソウ</t>
    </rPh>
    <rPh sb="77" eb="78">
      <t>ネツ</t>
    </rPh>
    <rPh sb="78" eb="80">
      <t>テイコウ</t>
    </rPh>
    <rPh sb="87" eb="89">
      <t>トウガイ</t>
    </rPh>
    <rPh sb="89" eb="91">
      <t>ザイリョウ</t>
    </rPh>
    <rPh sb="92" eb="94">
      <t>ソンザイ</t>
    </rPh>
    <rPh sb="97" eb="98">
      <t>ラン</t>
    </rPh>
    <rPh sb="99" eb="101">
      <t>クウハク</t>
    </rPh>
    <rPh sb="104" eb="105">
      <t>クダ</t>
    </rPh>
    <rPh sb="108" eb="109">
      <t>ヒダリ</t>
    </rPh>
    <rPh sb="110" eb="111">
      <t>レイ</t>
    </rPh>
    <rPh sb="113" eb="115">
      <t>ケイセン</t>
    </rPh>
    <rPh sb="116" eb="117">
      <t>ヒ</t>
    </rPh>
    <phoneticPr fontId="2"/>
  </si>
  <si>
    <r>
      <t>基礎断熱の場合の基礎・土間外周部、および床断熱の場合の玄関・浴室土間外周部について入力して下さい。数値は計算方法は、省エネルギー基準技術資料
https://www.kenken.go.jp/becc/documents/house/3-3_250401_v24.pdf
の、表16b,16c,17b,17cに基づきます。
断熱材の</t>
    </r>
    <r>
      <rPr>
        <b/>
        <sz val="10"/>
        <color rgb="FFFF0000"/>
        <rFont val="メイリオ"/>
        <family val="3"/>
        <charset val="128"/>
      </rPr>
      <t>熱抵抗は、材料厚さ[mm]÷1000÷熱伝導率[W/mK]</t>
    </r>
    <r>
      <rPr>
        <sz val="10"/>
        <rFont val="メイリオ"/>
        <family val="3"/>
        <charset val="128"/>
      </rPr>
      <t>　で計算します。</t>
    </r>
    <rPh sb="0" eb="4">
      <t>キソダンネツ</t>
    </rPh>
    <rPh sb="5" eb="7">
      <t>バアイ</t>
    </rPh>
    <rPh sb="8" eb="10">
      <t>キソ</t>
    </rPh>
    <rPh sb="11" eb="13">
      <t>ドマ</t>
    </rPh>
    <rPh sb="13" eb="16">
      <t>ガイシュウブ</t>
    </rPh>
    <rPh sb="20" eb="23">
      <t>ユカダンネツ</t>
    </rPh>
    <rPh sb="24" eb="26">
      <t>バアイ</t>
    </rPh>
    <rPh sb="27" eb="29">
      <t>ゲンカン</t>
    </rPh>
    <rPh sb="30" eb="32">
      <t>ヨクシツ</t>
    </rPh>
    <rPh sb="32" eb="34">
      <t>ドマ</t>
    </rPh>
    <rPh sb="34" eb="37">
      <t>ガイシュウブ</t>
    </rPh>
    <rPh sb="41" eb="43">
      <t>ニュウリョク</t>
    </rPh>
    <rPh sb="45" eb="46">
      <t>クダ</t>
    </rPh>
    <rPh sb="49" eb="51">
      <t>スウチ</t>
    </rPh>
    <rPh sb="138" eb="139">
      <t>ヒョウ</t>
    </rPh>
    <rPh sb="155" eb="156">
      <t>モト</t>
    </rPh>
    <rPh sb="162" eb="165">
      <t>ダンネツザイ</t>
    </rPh>
    <rPh sb="166" eb="169">
      <t>ネツテイコウ</t>
    </rPh>
    <rPh sb="197" eb="199">
      <t>ケイサン</t>
    </rPh>
    <phoneticPr fontId="2"/>
  </si>
  <si>
    <t>予備1・予備2は、一つの住宅において、複数の基礎・土間外周部仕様を採用する場合に使用して下さい。</t>
    <rPh sb="0" eb="2">
      <t>ヨビ</t>
    </rPh>
    <rPh sb="4" eb="6">
      <t>ヨビ</t>
    </rPh>
    <rPh sb="9" eb="10">
      <t>ヒト</t>
    </rPh>
    <rPh sb="12" eb="14">
      <t>ジュウタク</t>
    </rPh>
    <rPh sb="19" eb="21">
      <t>フクスウ</t>
    </rPh>
    <rPh sb="22" eb="24">
      <t>キソ</t>
    </rPh>
    <rPh sb="25" eb="27">
      <t>ドマ</t>
    </rPh>
    <rPh sb="27" eb="30">
      <t>ガイシュウブ</t>
    </rPh>
    <rPh sb="30" eb="32">
      <t>シヨウ</t>
    </rPh>
    <rPh sb="33" eb="35">
      <t>サイヨウ</t>
    </rPh>
    <rPh sb="37" eb="39">
      <t>バアイ</t>
    </rPh>
    <rPh sb="40" eb="42">
      <t>シヨウ</t>
    </rPh>
    <rPh sb="44" eb="45">
      <t>クダ</t>
    </rPh>
    <phoneticPr fontId="2"/>
  </si>
  <si>
    <t>予備1～予備3は、一つの住宅において、同一部位について複数の断熱仕様を採用する場合などで入力欄が不足する場合に、どの部位の仕様か明記したうえで使用して下さい。</t>
    <rPh sb="0" eb="2">
      <t>ヨビ</t>
    </rPh>
    <rPh sb="4" eb="6">
      <t>ヨビ</t>
    </rPh>
    <rPh sb="9" eb="10">
      <t>ヒト</t>
    </rPh>
    <rPh sb="12" eb="14">
      <t>ジュウタク</t>
    </rPh>
    <rPh sb="19" eb="21">
      <t>ドウイツ</t>
    </rPh>
    <rPh sb="21" eb="23">
      <t>ブイ</t>
    </rPh>
    <rPh sb="27" eb="29">
      <t>フクスウ</t>
    </rPh>
    <rPh sb="30" eb="32">
      <t>ダンネツ</t>
    </rPh>
    <rPh sb="32" eb="34">
      <t>シヨウ</t>
    </rPh>
    <rPh sb="35" eb="37">
      <t>サイヨウ</t>
    </rPh>
    <rPh sb="39" eb="41">
      <t>バアイ</t>
    </rPh>
    <rPh sb="44" eb="46">
      <t>ニュウリョク</t>
    </rPh>
    <rPh sb="46" eb="47">
      <t>ラン</t>
    </rPh>
    <rPh sb="48" eb="50">
      <t>フソク</t>
    </rPh>
    <rPh sb="52" eb="54">
      <t>バアイ</t>
    </rPh>
    <rPh sb="58" eb="60">
      <t>ブイ</t>
    </rPh>
    <rPh sb="61" eb="63">
      <t>シヨウ</t>
    </rPh>
    <rPh sb="64" eb="66">
      <t>メイキ</t>
    </rPh>
    <rPh sb="71" eb="73">
      <t>シヨウ</t>
    </rPh>
    <rPh sb="75" eb="76">
      <t>クダ</t>
    </rPh>
    <phoneticPr fontId="2"/>
  </si>
  <si>
    <t>・外壁のU値を「U値」シートから転記して下さい。階間ふところのU値も、通常は同じ値でかまいません。</t>
    <rPh sb="1" eb="3">
      <t>ガイヘキ</t>
    </rPh>
    <rPh sb="5" eb="6">
      <t>チ</t>
    </rPh>
    <rPh sb="9" eb="10">
      <t>チ</t>
    </rPh>
    <rPh sb="16" eb="18">
      <t>テンキ</t>
    </rPh>
    <rPh sb="20" eb="21">
      <t>クダ</t>
    </rPh>
    <rPh sb="24" eb="25">
      <t>カイ</t>
    </rPh>
    <rPh sb="25" eb="26">
      <t>マ</t>
    </rPh>
    <rPh sb="32" eb="33">
      <t>チ</t>
    </rPh>
    <rPh sb="35" eb="37">
      <t>ツウジョウ</t>
    </rPh>
    <rPh sb="38" eb="39">
      <t>オナ</t>
    </rPh>
    <rPh sb="40" eb="41">
      <t>アタイ</t>
    </rPh>
    <phoneticPr fontId="2"/>
  </si>
  <si>
    <r>
      <t>◆</t>
    </r>
    <r>
      <rPr>
        <b/>
        <sz val="11"/>
        <color rgb="FFFF0000"/>
        <rFont val="メイリオ"/>
        <family val="3"/>
        <charset val="128"/>
      </rPr>
      <t>床断熱の場合の</t>
    </r>
    <r>
      <rPr>
        <sz val="11"/>
        <color theme="1"/>
        <rFont val="メイリオ"/>
        <family val="3"/>
        <charset val="128"/>
      </rPr>
      <t>床・基礎壁・土間外周部（※下部断熱位置=床断熱の場合に記入して下さい）</t>
    </r>
    <rPh sb="1" eb="4">
      <t>ユカダンネツ</t>
    </rPh>
    <rPh sb="5" eb="7">
      <t>バアイ</t>
    </rPh>
    <rPh sb="8" eb="9">
      <t>ユカ</t>
    </rPh>
    <rPh sb="10" eb="12">
      <t>キソ</t>
    </rPh>
    <rPh sb="12" eb="13">
      <t>カベ</t>
    </rPh>
    <rPh sb="14" eb="16">
      <t>ドマ</t>
    </rPh>
    <rPh sb="16" eb="18">
      <t>ガイシュウ</t>
    </rPh>
    <rPh sb="18" eb="19">
      <t>ブ</t>
    </rPh>
    <rPh sb="21" eb="23">
      <t>カブ</t>
    </rPh>
    <rPh sb="23" eb="25">
      <t>ダンネツ</t>
    </rPh>
    <rPh sb="25" eb="27">
      <t>イチ</t>
    </rPh>
    <rPh sb="28" eb="29">
      <t>ユカ</t>
    </rPh>
    <rPh sb="29" eb="31">
      <t>ダンネツ</t>
    </rPh>
    <rPh sb="32" eb="34">
      <t>バアイ</t>
    </rPh>
    <rPh sb="35" eb="37">
      <t>キニュウ</t>
    </rPh>
    <rPh sb="39" eb="40">
      <t>クダ</t>
    </rPh>
    <phoneticPr fontId="2"/>
  </si>
  <si>
    <t>床断熱の場合に、基礎および土間外周のΨ値を「U値」シートから転記して下さい。初期値として入力されている値（0.99）をそのまま使用してもかまいません。</t>
    <rPh sb="8" eb="10">
      <t>キソ</t>
    </rPh>
    <rPh sb="13" eb="15">
      <t>ドマ</t>
    </rPh>
    <rPh sb="15" eb="17">
      <t>ガイシュウ</t>
    </rPh>
    <rPh sb="38" eb="41">
      <t>ショキチ</t>
    </rPh>
    <rPh sb="44" eb="46">
      <t>ニュウリョク</t>
    </rPh>
    <rPh sb="63" eb="65">
      <t>シヨウ</t>
    </rPh>
    <phoneticPr fontId="2"/>
  </si>
  <si>
    <t>基礎断熱の場合に、基礎および土間外周のΨ値を「U値」シートから転記して下さい。初期値として入力されている値（0.99）をそのまま使用してもかまいません。</t>
    <rPh sb="0" eb="2">
      <t>キソ</t>
    </rPh>
    <phoneticPr fontId="2"/>
  </si>
  <si>
    <r>
      <t>◆</t>
    </r>
    <r>
      <rPr>
        <b/>
        <sz val="11"/>
        <color rgb="FFFF0000"/>
        <rFont val="メイリオ"/>
        <family val="3"/>
        <charset val="128"/>
      </rPr>
      <t>天井断熱の場合の</t>
    </r>
    <r>
      <rPr>
        <sz val="11"/>
        <color theme="1"/>
        <rFont val="メイリオ"/>
        <family val="3"/>
        <charset val="128"/>
      </rPr>
      <t>天井（※上部断熱位置=天井断熱の場合に記入して下さい）</t>
    </r>
    <rPh sb="1" eb="5">
      <t>テンジョウダンネツ</t>
    </rPh>
    <rPh sb="6" eb="8">
      <t>バアイ</t>
    </rPh>
    <rPh sb="9" eb="11">
      <t>テンジョウ</t>
    </rPh>
    <rPh sb="13" eb="15">
      <t>ジョウブ</t>
    </rPh>
    <rPh sb="15" eb="17">
      <t>ダンネツ</t>
    </rPh>
    <rPh sb="17" eb="19">
      <t>イチ</t>
    </rPh>
    <rPh sb="20" eb="22">
      <t>テンジョウ</t>
    </rPh>
    <rPh sb="22" eb="24">
      <t>ダンネツ</t>
    </rPh>
    <rPh sb="25" eb="27">
      <t>バアイ</t>
    </rPh>
    <rPh sb="28" eb="30">
      <t>キニュウ</t>
    </rPh>
    <rPh sb="32" eb="33">
      <t>クダ</t>
    </rPh>
    <phoneticPr fontId="2"/>
  </si>
  <si>
    <r>
      <t>◆</t>
    </r>
    <r>
      <rPr>
        <b/>
        <sz val="11"/>
        <color rgb="FFFF0000"/>
        <rFont val="メイリオ"/>
        <family val="3"/>
        <charset val="128"/>
      </rPr>
      <t>基礎断熱の場合の</t>
    </r>
    <r>
      <rPr>
        <sz val="11"/>
        <color theme="1"/>
        <rFont val="メイリオ"/>
        <family val="3"/>
        <charset val="128"/>
      </rPr>
      <t>基礎壁・土間外周部（※下部断熱位置=基礎断熱の場合に記入して下さい）</t>
    </r>
    <rPh sb="1" eb="5">
      <t>キソダンネツ</t>
    </rPh>
    <rPh sb="6" eb="8">
      <t>バアイ</t>
    </rPh>
    <rPh sb="9" eb="11">
      <t>キソ</t>
    </rPh>
    <rPh sb="11" eb="12">
      <t>カベ</t>
    </rPh>
    <rPh sb="13" eb="15">
      <t>ドマ</t>
    </rPh>
    <rPh sb="15" eb="18">
      <t>ガイシュウブ</t>
    </rPh>
    <rPh sb="20" eb="22">
      <t>カブ</t>
    </rPh>
    <rPh sb="22" eb="24">
      <t>ダンネツ</t>
    </rPh>
    <rPh sb="24" eb="26">
      <t>イチ</t>
    </rPh>
    <rPh sb="27" eb="29">
      <t>キソ</t>
    </rPh>
    <rPh sb="29" eb="31">
      <t>ダンネツ</t>
    </rPh>
    <rPh sb="32" eb="34">
      <t>バアイ</t>
    </rPh>
    <rPh sb="35" eb="37">
      <t>キニュウ</t>
    </rPh>
    <rPh sb="39" eb="40">
      <t>クダ</t>
    </rPh>
    <phoneticPr fontId="2"/>
  </si>
  <si>
    <r>
      <t>◆</t>
    </r>
    <r>
      <rPr>
        <b/>
        <sz val="11"/>
        <color rgb="FFFF0000"/>
        <rFont val="メイリオ"/>
        <family val="3"/>
        <charset val="128"/>
      </rPr>
      <t>屋根断熱の場合の</t>
    </r>
    <r>
      <rPr>
        <sz val="11"/>
        <color theme="1"/>
        <rFont val="メイリオ"/>
        <family val="3"/>
        <charset val="128"/>
      </rPr>
      <t>屋根および妻壁（※上部断熱位置=屋根断熱の場合に記入して下さい）</t>
    </r>
    <rPh sb="1" eb="3">
      <t>ヤネ</t>
    </rPh>
    <rPh sb="3" eb="5">
      <t>ダンネツ</t>
    </rPh>
    <rPh sb="6" eb="8">
      <t>バアイ</t>
    </rPh>
    <rPh sb="9" eb="11">
      <t>ヤネ</t>
    </rPh>
    <rPh sb="14" eb="15">
      <t>ツマ</t>
    </rPh>
    <rPh sb="15" eb="16">
      <t>カベ</t>
    </rPh>
    <rPh sb="18" eb="20">
      <t>ジョウブ</t>
    </rPh>
    <rPh sb="20" eb="22">
      <t>ダンネツ</t>
    </rPh>
    <rPh sb="22" eb="24">
      <t>イチ</t>
    </rPh>
    <rPh sb="25" eb="27">
      <t>ヤネ</t>
    </rPh>
    <rPh sb="27" eb="29">
      <t>ダンネツ</t>
    </rPh>
    <rPh sb="30" eb="32">
      <t>バアイ</t>
    </rPh>
    <rPh sb="33" eb="35">
      <t>キニュウ</t>
    </rPh>
    <rPh sb="37" eb="38">
      <t>クダ</t>
    </rPh>
    <phoneticPr fontId="2"/>
  </si>
  <si>
    <r>
      <t>・「U値」シートには、住宅シリーズの</t>
    </r>
    <r>
      <rPr>
        <b/>
        <sz val="11"/>
        <color rgb="FFFF0000"/>
        <rFont val="メイリオ"/>
        <family val="3"/>
        <charset val="128"/>
      </rPr>
      <t>標準的な断熱仕様を入力</t>
    </r>
    <r>
      <rPr>
        <sz val="11"/>
        <color theme="1"/>
        <rFont val="メイリオ"/>
        <family val="3"/>
        <charset val="128"/>
      </rPr>
      <t xml:space="preserve">し、各部位のU値(熱貫流率)・Ψ値（線熱貫流率）を算出して下さい。
・複数の地域区分で応募する場合で、断熱仕様が地域により異なる場合は、「U値」シートを適宜コピーして断熱仕様の数だけ作成・入力して下さい。
</t>
    </r>
    <r>
      <rPr>
        <sz val="11"/>
        <color rgb="FFFF0000"/>
        <rFont val="メイリオ"/>
        <family val="3"/>
        <charset val="128"/>
      </rPr>
      <t>※複数の地域区分で応募する場合でも、断熱仕様が同じ場合は、「U値」シートは1つだけ入力して下さい。</t>
    </r>
    <rPh sb="3" eb="4">
      <t>チ</t>
    </rPh>
    <rPh sb="11" eb="13">
      <t>ジュウタク</t>
    </rPh>
    <rPh sb="18" eb="21">
      <t>ヒョウジュンテキ</t>
    </rPh>
    <rPh sb="22" eb="24">
      <t>ダンネツ</t>
    </rPh>
    <rPh sb="24" eb="26">
      <t>シヨウ</t>
    </rPh>
    <rPh sb="27" eb="29">
      <t>ニュウリョク</t>
    </rPh>
    <rPh sb="31" eb="34">
      <t>カクブイ</t>
    </rPh>
    <rPh sb="36" eb="37">
      <t>チ</t>
    </rPh>
    <rPh sb="38" eb="39">
      <t>ネツ</t>
    </rPh>
    <rPh sb="39" eb="41">
      <t>カンリュウ</t>
    </rPh>
    <rPh sb="41" eb="42">
      <t>リツ</t>
    </rPh>
    <rPh sb="45" eb="46">
      <t>チ</t>
    </rPh>
    <rPh sb="47" eb="48">
      <t>セン</t>
    </rPh>
    <rPh sb="48" eb="52">
      <t>ネツカンリュウリツ</t>
    </rPh>
    <rPh sb="54" eb="56">
      <t>サンシュツ</t>
    </rPh>
    <rPh sb="58" eb="59">
      <t>クダ</t>
    </rPh>
    <phoneticPr fontId="2"/>
  </si>
  <si>
    <t>・U値シート・UA値シートのいずれかまたは両方につき、他のソフト等で作成した資料で同等の内容のものがある場合、そちらを提出することができます。ただし、以下の条件を満たすものに限ります。</t>
    <rPh sb="2" eb="3">
      <t>チ</t>
    </rPh>
    <rPh sb="9" eb="10">
      <t>チ</t>
    </rPh>
    <rPh sb="21" eb="23">
      <t>リョウホウ</t>
    </rPh>
    <rPh sb="27" eb="28">
      <t>ホカ</t>
    </rPh>
    <rPh sb="32" eb="33">
      <t>トウ</t>
    </rPh>
    <rPh sb="34" eb="36">
      <t>サクセイ</t>
    </rPh>
    <rPh sb="38" eb="40">
      <t>シリョウ</t>
    </rPh>
    <rPh sb="41" eb="43">
      <t>ドウトウ</t>
    </rPh>
    <rPh sb="44" eb="46">
      <t>ナイヨウ</t>
    </rPh>
    <rPh sb="52" eb="54">
      <t>バアイ</t>
    </rPh>
    <rPh sb="59" eb="61">
      <t>テイシュツ</t>
    </rPh>
    <rPh sb="75" eb="77">
      <t>イカ</t>
    </rPh>
    <rPh sb="78" eb="80">
      <t>ジョウケン</t>
    </rPh>
    <rPh sb="81" eb="82">
      <t>ミ</t>
    </rPh>
    <rPh sb="87" eb="88">
      <t>カギ</t>
    </rPh>
    <phoneticPr fontId="2"/>
  </si>
  <si>
    <t>・U値・Ψ値の計算については、
①計算過程の数値（材料名、熱伝導率、材料厚、熱橋面積比、表面熱伝達率等、断熱材熱抵抗等）が表記されていること
②断熱境界となる部位のU値が過不足なく表記されていること
（UA値計算に使用しない断熱仕様や、断熱境界ではない部位（2階床、1階天井など）の仕様は記載しないで下さい。）</t>
    <rPh sb="2" eb="3">
      <t>アタイ</t>
    </rPh>
    <rPh sb="5" eb="6">
      <t>チ</t>
    </rPh>
    <rPh sb="7" eb="9">
      <t>ケイサン</t>
    </rPh>
    <rPh sb="17" eb="19">
      <t>ケイサン</t>
    </rPh>
    <rPh sb="19" eb="21">
      <t>カテイ</t>
    </rPh>
    <rPh sb="22" eb="24">
      <t>スウチ</t>
    </rPh>
    <rPh sb="25" eb="28">
      <t>ザイリョウメイ</t>
    </rPh>
    <rPh sb="29" eb="30">
      <t>ネツ</t>
    </rPh>
    <rPh sb="30" eb="33">
      <t>デンドウリツ</t>
    </rPh>
    <rPh sb="34" eb="36">
      <t>ザイリョウ</t>
    </rPh>
    <rPh sb="36" eb="37">
      <t>アツ</t>
    </rPh>
    <rPh sb="38" eb="39">
      <t>ネツ</t>
    </rPh>
    <rPh sb="39" eb="40">
      <t>ハシ</t>
    </rPh>
    <rPh sb="40" eb="42">
      <t>メンセキ</t>
    </rPh>
    <rPh sb="42" eb="43">
      <t>ヒ</t>
    </rPh>
    <rPh sb="44" eb="46">
      <t>ヒョウメン</t>
    </rPh>
    <rPh sb="46" eb="49">
      <t>ネツデンタツ</t>
    </rPh>
    <rPh sb="49" eb="50">
      <t>リツ</t>
    </rPh>
    <rPh sb="50" eb="51">
      <t>トウ</t>
    </rPh>
    <rPh sb="52" eb="55">
      <t>ダンネツザイ</t>
    </rPh>
    <rPh sb="55" eb="58">
      <t>ネツテイコウ</t>
    </rPh>
    <rPh sb="58" eb="59">
      <t>トウ</t>
    </rPh>
    <rPh sb="61" eb="63">
      <t>ヒョウキ</t>
    </rPh>
    <phoneticPr fontId="2"/>
  </si>
  <si>
    <t>・複数の地域区分で応募する場合、2つめの地域区分での計算に使用して下さい。</t>
    <rPh sb="1" eb="3">
      <t>フクスウ</t>
    </rPh>
    <rPh sb="4" eb="6">
      <t>チイキ</t>
    </rPh>
    <rPh sb="6" eb="8">
      <t>クブン</t>
    </rPh>
    <rPh sb="9" eb="11">
      <t>オウボ</t>
    </rPh>
    <rPh sb="13" eb="15">
      <t>バアイ</t>
    </rPh>
    <rPh sb="20" eb="22">
      <t>チイキ</t>
    </rPh>
    <rPh sb="22" eb="24">
      <t>クブン</t>
    </rPh>
    <rPh sb="26" eb="28">
      <t>ケイサン</t>
    </rPh>
    <rPh sb="29" eb="31">
      <t>シヨウ</t>
    </rPh>
    <rPh sb="33" eb="34">
      <t>クダ</t>
    </rPh>
    <phoneticPr fontId="2"/>
  </si>
  <si>
    <t>・応募するシリーズの標準的な断熱仕様を入力し、U値・Ψ値を算出して下さい。
・複数の地域区分で応募する場合で、断熱仕様が複数に分かれる場合は、「U値2」シートにも入力して下さい。
・このシートに代えて、他のソフトの出力ファイル等、U値・Ψ値の計算過程がわかる資料を提出することができます。詳細は入力要領シートをご確認下さい。</t>
    <rPh sb="1" eb="3">
      <t>オウボ</t>
    </rPh>
    <rPh sb="10" eb="13">
      <t>ヒョウジュンテキ</t>
    </rPh>
    <rPh sb="14" eb="18">
      <t>ダンネツシヨウ</t>
    </rPh>
    <rPh sb="19" eb="21">
      <t>ニュウリョク</t>
    </rPh>
    <rPh sb="24" eb="25">
      <t>チ</t>
    </rPh>
    <rPh sb="27" eb="28">
      <t>チ</t>
    </rPh>
    <rPh sb="29" eb="31">
      <t>サンシュツ</t>
    </rPh>
    <rPh sb="33" eb="34">
      <t>クダ</t>
    </rPh>
    <rPh sb="39" eb="41">
      <t>フクスウ</t>
    </rPh>
    <rPh sb="42" eb="46">
      <t>チイキクブン</t>
    </rPh>
    <rPh sb="47" eb="49">
      <t>オウボ</t>
    </rPh>
    <rPh sb="51" eb="53">
      <t>バアイ</t>
    </rPh>
    <rPh sb="55" eb="59">
      <t>ダンネツシヨウ</t>
    </rPh>
    <rPh sb="60" eb="62">
      <t>フクスウ</t>
    </rPh>
    <rPh sb="63" eb="64">
      <t>ワ</t>
    </rPh>
    <rPh sb="67" eb="69">
      <t>バアイ</t>
    </rPh>
    <rPh sb="73" eb="74">
      <t>チ</t>
    </rPh>
    <rPh sb="81" eb="83">
      <t>ニュウリョク</t>
    </rPh>
    <rPh sb="85" eb="86">
      <t>クダ</t>
    </rPh>
    <rPh sb="97" eb="98">
      <t>カ</t>
    </rPh>
    <rPh sb="101" eb="102">
      <t>ホカ</t>
    </rPh>
    <rPh sb="107" eb="109">
      <t>シュツリョク</t>
    </rPh>
    <rPh sb="113" eb="114">
      <t>トウ</t>
    </rPh>
    <rPh sb="116" eb="117">
      <t>チ</t>
    </rPh>
    <rPh sb="119" eb="120">
      <t>チ</t>
    </rPh>
    <rPh sb="121" eb="125">
      <t>ケイサンカテイ</t>
    </rPh>
    <rPh sb="129" eb="131">
      <t>シリョウ</t>
    </rPh>
    <rPh sb="132" eb="134">
      <t>テイシュツ</t>
    </rPh>
    <rPh sb="144" eb="146">
      <t>ショウサイ</t>
    </rPh>
    <rPh sb="147" eb="149">
      <t>ニュウリョク</t>
    </rPh>
    <rPh sb="156" eb="158">
      <t>カクニン</t>
    </rPh>
    <rPh sb="158" eb="159">
      <t>クダ</t>
    </rPh>
    <phoneticPr fontId="2"/>
  </si>
  <si>
    <t>・応募する地域区分・断熱位置等を指定し、U値等を入力して下さい。
・複数の地域区分で応募する場合は、「UA値等2」以降の各シートに入力して下さい。同一の断熱仕様であっても、地域区分が変わるとUA・ηAH・ηACの値が変化する場合があるため、地域区分ごとにシートを分ける必要があります。
・UA値等の計算は、以下のモデル建物について行います。外皮面積等はこのモデル建物の値が入力されています（変更はできません）。</t>
    <rPh sb="1" eb="3">
      <t>オウボ</t>
    </rPh>
    <rPh sb="5" eb="9">
      <t>チイキクブン</t>
    </rPh>
    <rPh sb="10" eb="12">
      <t>ダンネツ</t>
    </rPh>
    <rPh sb="12" eb="14">
      <t>イチ</t>
    </rPh>
    <rPh sb="14" eb="15">
      <t>トウ</t>
    </rPh>
    <rPh sb="16" eb="18">
      <t>シテイ</t>
    </rPh>
    <rPh sb="21" eb="22">
      <t>チ</t>
    </rPh>
    <rPh sb="22" eb="23">
      <t>トウ</t>
    </rPh>
    <rPh sb="24" eb="26">
      <t>ニュウリョク</t>
    </rPh>
    <rPh sb="28" eb="29">
      <t>クダ</t>
    </rPh>
    <rPh sb="34" eb="36">
      <t>フクスウ</t>
    </rPh>
    <rPh sb="37" eb="41">
      <t>チイキクブン</t>
    </rPh>
    <rPh sb="42" eb="44">
      <t>オウボ</t>
    </rPh>
    <rPh sb="46" eb="48">
      <t>バアイ</t>
    </rPh>
    <rPh sb="53" eb="54">
      <t>チ</t>
    </rPh>
    <rPh sb="54" eb="55">
      <t>トウ</t>
    </rPh>
    <rPh sb="57" eb="59">
      <t>イコウ</t>
    </rPh>
    <rPh sb="60" eb="61">
      <t>カク</t>
    </rPh>
    <rPh sb="65" eb="67">
      <t>ニュウリョク</t>
    </rPh>
    <rPh sb="69" eb="70">
      <t>クダ</t>
    </rPh>
    <rPh sb="73" eb="75">
      <t>ドウイツ</t>
    </rPh>
    <rPh sb="76" eb="80">
      <t>ダンネツシヨウ</t>
    </rPh>
    <rPh sb="86" eb="88">
      <t>チイキ</t>
    </rPh>
    <rPh sb="88" eb="90">
      <t>クブン</t>
    </rPh>
    <rPh sb="91" eb="92">
      <t>カ</t>
    </rPh>
    <rPh sb="106" eb="107">
      <t>アタイ</t>
    </rPh>
    <rPh sb="108" eb="110">
      <t>ヘンカ</t>
    </rPh>
    <rPh sb="112" eb="114">
      <t>バアイ</t>
    </rPh>
    <rPh sb="120" eb="124">
      <t>チイキクブン</t>
    </rPh>
    <rPh sb="131" eb="132">
      <t>ワ</t>
    </rPh>
    <rPh sb="134" eb="136">
      <t>ヒツヨウ</t>
    </rPh>
    <rPh sb="146" eb="147">
      <t>チ</t>
    </rPh>
    <rPh sb="147" eb="148">
      <t>トウ</t>
    </rPh>
    <rPh sb="149" eb="151">
      <t>ケイサン</t>
    </rPh>
    <rPh sb="153" eb="155">
      <t>イカ</t>
    </rPh>
    <rPh sb="159" eb="161">
      <t>タテモノ</t>
    </rPh>
    <rPh sb="165" eb="166">
      <t>オコナ</t>
    </rPh>
    <rPh sb="170" eb="172">
      <t>ガイヒ</t>
    </rPh>
    <rPh sb="172" eb="174">
      <t>メンセキ</t>
    </rPh>
    <rPh sb="174" eb="175">
      <t>トウ</t>
    </rPh>
    <rPh sb="181" eb="183">
      <t>タテモノ</t>
    </rPh>
    <rPh sb="184" eb="185">
      <t>アタイ</t>
    </rPh>
    <rPh sb="186" eb="188">
      <t>ニュウリョク</t>
    </rPh>
    <rPh sb="195" eb="197">
      <t>ヘンコウ</t>
    </rPh>
    <phoneticPr fontId="2"/>
  </si>
  <si>
    <t>・ExcelまたはPDFファイルで出力されていること（ファイル名は「2025_02_応募シリーズ名」で始まり、記載内容（U値・UA値のどちらか、または両方か）を付加した名称として下さい）。</t>
    <rPh sb="17" eb="19">
      <t>シュツリョク</t>
    </rPh>
    <rPh sb="31" eb="32">
      <t>メイ</t>
    </rPh>
    <rPh sb="42" eb="44">
      <t>オウボ</t>
    </rPh>
    <rPh sb="48" eb="49">
      <t>メイ</t>
    </rPh>
    <rPh sb="51" eb="52">
      <t>ハジ</t>
    </rPh>
    <rPh sb="55" eb="57">
      <t>キサイ</t>
    </rPh>
    <rPh sb="57" eb="59">
      <t>ナイヨウ</t>
    </rPh>
    <rPh sb="61" eb="62">
      <t>チ</t>
    </rPh>
    <rPh sb="65" eb="66">
      <t>チ</t>
    </rPh>
    <rPh sb="75" eb="77">
      <t>リョウホウ</t>
    </rPh>
    <rPh sb="80" eb="82">
      <t>フカ</t>
    </rPh>
    <rPh sb="84" eb="86">
      <t>メイショウ</t>
    </rPh>
    <rPh sb="89" eb="90">
      <t>クダ</t>
    </rPh>
    <phoneticPr fontId="2"/>
  </si>
  <si>
    <t>応募するシリーズにおける標準的な断熱仕様の外壁のU値を計算して下さい。</t>
    <rPh sb="0" eb="2">
      <t>オウボ</t>
    </rPh>
    <rPh sb="12" eb="15">
      <t>ヒョウジュンテキ</t>
    </rPh>
    <rPh sb="16" eb="20">
      <t>ダンネツシヨウ</t>
    </rPh>
    <rPh sb="21" eb="23">
      <t>ガイヘキ</t>
    </rPh>
    <rPh sb="25" eb="26">
      <t>チ</t>
    </rPh>
    <rPh sb="27" eb="29">
      <t>ケイサン</t>
    </rPh>
    <rPh sb="31" eb="32">
      <t>クダ</t>
    </rPh>
    <phoneticPr fontId="2"/>
  </si>
  <si>
    <t>応募するシリーズにおける標準的な断熱仕様の天井または屋根のU値を計算して下さい。</t>
    <rPh sb="0" eb="2">
      <t>オウボ</t>
    </rPh>
    <rPh sb="12" eb="15">
      <t>ヒョウジュンテキ</t>
    </rPh>
    <rPh sb="16" eb="20">
      <t>ダンネツシヨウ</t>
    </rPh>
    <rPh sb="21" eb="23">
      <t>テンジョウ</t>
    </rPh>
    <rPh sb="26" eb="28">
      <t>ヤネ</t>
    </rPh>
    <rPh sb="30" eb="31">
      <t>チ</t>
    </rPh>
    <rPh sb="32" eb="34">
      <t>ケイサン</t>
    </rPh>
    <rPh sb="36" eb="37">
      <t>クダ</t>
    </rPh>
    <phoneticPr fontId="2"/>
  </si>
  <si>
    <t>応募するシリーズにおける標準的な断熱仕様の床のU値を計算して下さい。</t>
    <rPh sb="0" eb="2">
      <t>オウボ</t>
    </rPh>
    <rPh sb="12" eb="15">
      <t>ヒョウジュンテキ</t>
    </rPh>
    <rPh sb="16" eb="20">
      <t>ダンネツシヨウ</t>
    </rPh>
    <rPh sb="21" eb="22">
      <t>ユカ</t>
    </rPh>
    <rPh sb="24" eb="25">
      <t>チ</t>
    </rPh>
    <rPh sb="26" eb="28">
      <t>ケイサン</t>
    </rPh>
    <rPh sb="30" eb="31">
      <t>クダ</t>
    </rPh>
    <phoneticPr fontId="2"/>
  </si>
  <si>
    <t>応募するシリーズにおける標準的な断熱仕様の基礎壁のU値を計算して下さい。</t>
    <rPh sb="0" eb="2">
      <t>オウボ</t>
    </rPh>
    <rPh sb="12" eb="15">
      <t>ヒョウジュンテキ</t>
    </rPh>
    <rPh sb="16" eb="20">
      <t>ダンネツシヨウ</t>
    </rPh>
    <rPh sb="21" eb="23">
      <t>キソ</t>
    </rPh>
    <rPh sb="23" eb="24">
      <t>カベ</t>
    </rPh>
    <rPh sb="26" eb="27">
      <t>チ</t>
    </rPh>
    <rPh sb="28" eb="30">
      <t>ケイサン</t>
    </rPh>
    <rPh sb="32" eb="33">
      <t>クダ</t>
    </rPh>
    <phoneticPr fontId="2"/>
  </si>
  <si>
    <t>算出された外皮面積合計、UA、ηAC、ηAHを「エネルギー消費性能計算プログラム（住宅版）」に入力し、一次エネルギー消費量を計算して下さい。</t>
    <rPh sb="0" eb="2">
      <t>サンシュツ</t>
    </rPh>
    <rPh sb="5" eb="7">
      <t>ガイヒ</t>
    </rPh>
    <rPh sb="7" eb="9">
      <t>メンセキ</t>
    </rPh>
    <rPh sb="9" eb="11">
      <t>ゴウケイ</t>
    </rPh>
    <rPh sb="29" eb="31">
      <t>ショウヒ</t>
    </rPh>
    <rPh sb="31" eb="33">
      <t>セイノウ</t>
    </rPh>
    <rPh sb="33" eb="35">
      <t>ケイサン</t>
    </rPh>
    <rPh sb="41" eb="43">
      <t>ジュウタク</t>
    </rPh>
    <rPh sb="43" eb="44">
      <t>バン</t>
    </rPh>
    <rPh sb="47" eb="49">
      <t>ニュウリョク</t>
    </rPh>
    <rPh sb="51" eb="53">
      <t>イチジ</t>
    </rPh>
    <rPh sb="58" eb="61">
      <t>ショウヒリョウ</t>
    </rPh>
    <rPh sb="62" eb="64">
      <t>ケイサン</t>
    </rPh>
    <rPh sb="66" eb="67">
      <t>クダ</t>
    </rPh>
    <phoneticPr fontId="2"/>
  </si>
  <si>
    <t>・4区分以上の地域区分で応募する場合、4つめの地域区分での計算に使用して下さい。
・5区分以上の地域区分で応募する場合、別のExcelファイルとして作成して下さい（シートのコピーはできません）。</t>
    <rPh sb="2" eb="4">
      <t>クブン</t>
    </rPh>
    <rPh sb="4" eb="6">
      <t>イジョウ</t>
    </rPh>
    <rPh sb="7" eb="9">
      <t>チイキ</t>
    </rPh>
    <rPh sb="9" eb="11">
      <t>クブン</t>
    </rPh>
    <rPh sb="12" eb="14">
      <t>オウボ</t>
    </rPh>
    <rPh sb="16" eb="18">
      <t>バアイ</t>
    </rPh>
    <rPh sb="23" eb="25">
      <t>チイキ</t>
    </rPh>
    <rPh sb="25" eb="27">
      <t>クブン</t>
    </rPh>
    <rPh sb="29" eb="31">
      <t>ケイサン</t>
    </rPh>
    <rPh sb="32" eb="34">
      <t>シヨウ</t>
    </rPh>
    <rPh sb="36" eb="37">
      <t>クダ</t>
    </rPh>
    <rPh sb="43" eb="45">
      <t>クブン</t>
    </rPh>
    <rPh sb="45" eb="47">
      <t>イジョウ</t>
    </rPh>
    <rPh sb="48" eb="52">
      <t>チイキクブン</t>
    </rPh>
    <rPh sb="53" eb="55">
      <t>オウボ</t>
    </rPh>
    <rPh sb="57" eb="59">
      <t>バアイ</t>
    </rPh>
    <rPh sb="60" eb="61">
      <t>ベツ</t>
    </rPh>
    <rPh sb="74" eb="76">
      <t>サクセイ</t>
    </rPh>
    <rPh sb="78" eb="79">
      <t>クダ</t>
    </rPh>
    <phoneticPr fontId="2"/>
  </si>
  <si>
    <t>・3区分以上の地域区分で応募する場合、3つめの地域区分での計算に使用して下さい。</t>
    <rPh sb="2" eb="4">
      <t>クブン</t>
    </rPh>
    <rPh sb="4" eb="6">
      <t>イジョウ</t>
    </rPh>
    <rPh sb="7" eb="9">
      <t>チイキ</t>
    </rPh>
    <rPh sb="9" eb="11">
      <t>クブン</t>
    </rPh>
    <rPh sb="12" eb="14">
      <t>オウボ</t>
    </rPh>
    <rPh sb="16" eb="18">
      <t>バアイ</t>
    </rPh>
    <rPh sb="23" eb="25">
      <t>チイキ</t>
    </rPh>
    <rPh sb="25" eb="27">
      <t>クブン</t>
    </rPh>
    <rPh sb="29" eb="31">
      <t>ケイサン</t>
    </rPh>
    <rPh sb="32" eb="34">
      <t>シヨウ</t>
    </rPh>
    <rPh sb="36" eb="37">
      <t>クダ</t>
    </rPh>
    <phoneticPr fontId="2"/>
  </si>
  <si>
    <r>
      <rPr>
        <b/>
        <sz val="12"/>
        <color rgb="FFFF0000"/>
        <rFont val="メイリオ"/>
        <family val="3"/>
        <charset val="128"/>
      </rPr>
      <t>・必ず地域区分、上部断熱位置、下部断熱位置を選択して下さい</t>
    </r>
    <r>
      <rPr>
        <sz val="12"/>
        <rFont val="メイリオ"/>
        <family val="3"/>
        <charset val="128"/>
      </rPr>
      <t>。</t>
    </r>
    <rPh sb="1" eb="2">
      <t>カナラ</t>
    </rPh>
    <rPh sb="3" eb="5">
      <t>チイキ</t>
    </rPh>
    <rPh sb="5" eb="7">
      <t>クブン</t>
    </rPh>
    <rPh sb="8" eb="10">
      <t>ジョウブ</t>
    </rPh>
    <rPh sb="10" eb="12">
      <t>ダンネツ</t>
    </rPh>
    <rPh sb="12" eb="14">
      <t>イチ</t>
    </rPh>
    <rPh sb="15" eb="17">
      <t>カブ</t>
    </rPh>
    <rPh sb="17" eb="19">
      <t>ダンネツ</t>
    </rPh>
    <rPh sb="19" eb="21">
      <t>イチ</t>
    </rPh>
    <rPh sb="22" eb="24">
      <t>センタク</t>
    </rPh>
    <rPh sb="26" eb="27">
      <t>クダ</t>
    </rPh>
    <phoneticPr fontId="2"/>
  </si>
  <si>
    <t>・複数地域での応募で、地域ごとに断熱仕様が異なる場合に、2つめの断熱仕様の入力に使用して下さい。</t>
    <rPh sb="1" eb="3">
      <t>フクスウ</t>
    </rPh>
    <rPh sb="3" eb="5">
      <t>チイキ</t>
    </rPh>
    <rPh sb="7" eb="9">
      <t>オウボ</t>
    </rPh>
    <rPh sb="11" eb="13">
      <t>チイキ</t>
    </rPh>
    <rPh sb="16" eb="20">
      <t>ダンネツシヨウ</t>
    </rPh>
    <rPh sb="21" eb="22">
      <t>コト</t>
    </rPh>
    <rPh sb="24" eb="26">
      <t>バアイ</t>
    </rPh>
    <rPh sb="32" eb="36">
      <t>ダンネツシヨウ</t>
    </rPh>
    <rPh sb="37" eb="39">
      <t>ニュウリョク</t>
    </rPh>
    <rPh sb="40" eb="42">
      <t>シヨウ</t>
    </rPh>
    <rPh sb="44" eb="45">
      <t>クダ</t>
    </rPh>
    <phoneticPr fontId="2"/>
  </si>
  <si>
    <t>・複数地域での応募で、地域ごとに断熱仕様が異なる場合に、3つめの断熱仕様の入力に使用して下さい。
・4以上の断熱仕様に分かれる場合は、別のExcelファイルとして作成して下さい（シートのコピーはできません）</t>
    <rPh sb="1" eb="3">
      <t>フクスウ</t>
    </rPh>
    <rPh sb="3" eb="5">
      <t>チイキ</t>
    </rPh>
    <rPh sb="7" eb="9">
      <t>オウボ</t>
    </rPh>
    <rPh sb="11" eb="13">
      <t>チイキ</t>
    </rPh>
    <rPh sb="16" eb="20">
      <t>ダンネツシヨウ</t>
    </rPh>
    <rPh sb="21" eb="22">
      <t>コト</t>
    </rPh>
    <rPh sb="24" eb="26">
      <t>バアイ</t>
    </rPh>
    <rPh sb="32" eb="36">
      <t>ダンネツシヨウ</t>
    </rPh>
    <rPh sb="37" eb="39">
      <t>ニュウリョク</t>
    </rPh>
    <rPh sb="40" eb="42">
      <t>シヨウ</t>
    </rPh>
    <rPh sb="44" eb="45">
      <t>クダ</t>
    </rPh>
    <rPh sb="51" eb="53">
      <t>イジョウ</t>
    </rPh>
    <rPh sb="54" eb="58">
      <t>ダンネツシヨウ</t>
    </rPh>
    <rPh sb="59" eb="60">
      <t>ワ</t>
    </rPh>
    <rPh sb="63" eb="65">
      <t>バアイ</t>
    </rPh>
    <rPh sb="67" eb="68">
      <t>ベツ</t>
    </rPh>
    <rPh sb="81" eb="83">
      <t>サクセイ</t>
    </rPh>
    <rPh sb="85" eb="86">
      <t>クダ</t>
    </rPh>
    <phoneticPr fontId="2"/>
  </si>
  <si>
    <r>
      <t>このファイルは、応募するシリーズのU値およびU</t>
    </r>
    <r>
      <rPr>
        <vertAlign val="subscript"/>
        <sz val="14"/>
        <rFont val="メイリオ"/>
        <family val="3"/>
        <charset val="128"/>
      </rPr>
      <t>A</t>
    </r>
    <r>
      <rPr>
        <sz val="14"/>
        <rFont val="メイリオ"/>
        <family val="3"/>
        <charset val="128"/>
      </rPr>
      <t>値等の計算に使用します。
・シリーズの標準的な断熱仕様で計算して下さい。
・U</t>
    </r>
    <r>
      <rPr>
        <vertAlign val="subscript"/>
        <sz val="14"/>
        <rFont val="メイリオ"/>
        <family val="3"/>
        <charset val="128"/>
      </rPr>
      <t>A</t>
    </r>
    <r>
      <rPr>
        <sz val="14"/>
        <rFont val="メイリオ"/>
        <family val="3"/>
        <charset val="128"/>
      </rPr>
      <t>値は、モデル建物を想定して算出します。外皮面積は「UA値等」シートにあらかじめ入力されています（変更はできません）。</t>
    </r>
    <r>
      <rPr>
        <b/>
        <sz val="14"/>
        <color rgb="FFFF0000"/>
        <rFont val="メイリオ"/>
        <family val="3"/>
        <charset val="128"/>
      </rPr>
      <t>実際に竣工した建物におけるU</t>
    </r>
    <r>
      <rPr>
        <b/>
        <vertAlign val="subscript"/>
        <sz val="14"/>
        <color rgb="FFFF0000"/>
        <rFont val="メイリオ"/>
        <family val="3"/>
        <charset val="128"/>
      </rPr>
      <t>A</t>
    </r>
    <r>
      <rPr>
        <b/>
        <sz val="14"/>
        <color rgb="FFFF0000"/>
        <rFont val="メイリオ"/>
        <family val="3"/>
        <charset val="128"/>
      </rPr>
      <t>値を計算するものではありません</t>
    </r>
    <r>
      <rPr>
        <sz val="14"/>
        <rFont val="メイリオ"/>
        <family val="3"/>
        <charset val="128"/>
      </rPr>
      <t>のでご注意下さい。
・</t>
    </r>
    <r>
      <rPr>
        <b/>
        <sz val="14"/>
        <color rgb="FFFF0000"/>
        <rFont val="メイリオ"/>
        <family val="3"/>
        <charset val="128"/>
      </rPr>
      <t>必要事項を入力し、Excelファイルのまま提出して下さい。</t>
    </r>
    <r>
      <rPr>
        <sz val="14"/>
        <rFont val="メイリオ"/>
        <family val="3"/>
        <charset val="128"/>
      </rPr>
      <t xml:space="preserve">
・このファイルに代えて、他のソフト等の出力ファイル等を使用することができます。詳細はこのシートの下部「■他のソフト等による計算結果の提出」をご確認下さい。</t>
    </r>
    <rPh sb="8" eb="10">
      <t>オウボ</t>
    </rPh>
    <rPh sb="18" eb="19">
      <t>チ</t>
    </rPh>
    <rPh sb="30" eb="32">
      <t>シヨウ</t>
    </rPh>
    <rPh sb="43" eb="46">
      <t>ヒョウジュンテキ</t>
    </rPh>
    <rPh sb="47" eb="51">
      <t>ダンネツシヨウ</t>
    </rPh>
    <rPh sb="52" eb="54">
      <t>ケイサン</t>
    </rPh>
    <rPh sb="56" eb="57">
      <t>クダ</t>
    </rPh>
    <rPh sb="64" eb="65">
      <t>チ</t>
    </rPh>
    <rPh sb="70" eb="72">
      <t>タテモノ</t>
    </rPh>
    <rPh sb="73" eb="75">
      <t>ソウテイ</t>
    </rPh>
    <rPh sb="77" eb="79">
      <t>サンシュツ</t>
    </rPh>
    <rPh sb="83" eb="85">
      <t>ガイヒ</t>
    </rPh>
    <rPh sb="85" eb="87">
      <t>メンセキ</t>
    </rPh>
    <rPh sb="91" eb="92">
      <t>チ</t>
    </rPh>
    <rPh sb="92" eb="93">
      <t>トウ</t>
    </rPh>
    <rPh sb="103" eb="105">
      <t>ニュウリョク</t>
    </rPh>
    <rPh sb="112" eb="114">
      <t>ヘンコウ</t>
    </rPh>
    <rPh sb="122" eb="124">
      <t>ジッサイ</t>
    </rPh>
    <rPh sb="125" eb="127">
      <t>シュンコウ</t>
    </rPh>
    <rPh sb="129" eb="131">
      <t>タテモノ</t>
    </rPh>
    <rPh sb="137" eb="138">
      <t>チ</t>
    </rPh>
    <rPh sb="139" eb="141">
      <t>ケイサン</t>
    </rPh>
    <rPh sb="155" eb="157">
      <t>チュウイ</t>
    </rPh>
    <rPh sb="157" eb="158">
      <t>クダ</t>
    </rPh>
    <rPh sb="163" eb="167">
      <t>ヒツヨウジコウ</t>
    </rPh>
    <rPh sb="168" eb="170">
      <t>ニュウリョク</t>
    </rPh>
    <rPh sb="184" eb="186">
      <t>テイシュツ</t>
    </rPh>
    <rPh sb="188" eb="189">
      <t>クダ</t>
    </rPh>
    <rPh sb="201" eb="202">
      <t>カ</t>
    </rPh>
    <rPh sb="205" eb="206">
      <t>ホカ</t>
    </rPh>
    <rPh sb="210" eb="211">
      <t>トウ</t>
    </rPh>
    <rPh sb="212" eb="214">
      <t>シュツリョク</t>
    </rPh>
    <rPh sb="218" eb="219">
      <t>トウ</t>
    </rPh>
    <rPh sb="220" eb="222">
      <t>シヨウ</t>
    </rPh>
    <rPh sb="232" eb="234">
      <t>ショウサイ</t>
    </rPh>
    <rPh sb="241" eb="243">
      <t>カブ</t>
    </rPh>
    <rPh sb="264" eb="266">
      <t>カクニン</t>
    </rPh>
    <rPh sb="266" eb="267">
      <t>クダ</t>
    </rPh>
    <phoneticPr fontId="2"/>
  </si>
  <si>
    <r>
      <t>・「UA値等」シートには、U値シートで算出した各部位のU値・Ψ値、および標準的な開口部のU値等を転記し、モデル建物におけるU</t>
    </r>
    <r>
      <rPr>
        <vertAlign val="subscript"/>
        <sz val="11"/>
        <color theme="1"/>
        <rFont val="メイリオ"/>
        <family val="3"/>
        <charset val="128"/>
      </rPr>
      <t>A</t>
    </r>
    <r>
      <rPr>
        <sz val="11"/>
        <color theme="1"/>
        <rFont val="メイリオ"/>
        <family val="3"/>
        <charset val="128"/>
      </rPr>
      <t>値（外皮平均熱貫流率）、η</t>
    </r>
    <r>
      <rPr>
        <vertAlign val="subscript"/>
        <sz val="11"/>
        <color theme="1"/>
        <rFont val="メイリオ"/>
        <family val="3"/>
        <charset val="128"/>
      </rPr>
      <t>AC</t>
    </r>
    <r>
      <rPr>
        <sz val="11"/>
        <color theme="1"/>
        <rFont val="メイリオ"/>
        <family val="3"/>
        <charset val="128"/>
      </rPr>
      <t>値（冷房期平均日射熱取得率）、η</t>
    </r>
    <r>
      <rPr>
        <vertAlign val="subscript"/>
        <sz val="11"/>
        <color theme="1"/>
        <rFont val="メイリオ"/>
        <family val="3"/>
        <charset val="128"/>
      </rPr>
      <t>AH</t>
    </r>
    <r>
      <rPr>
        <sz val="11"/>
        <color theme="1"/>
        <rFont val="メイリオ"/>
        <family val="3"/>
        <charset val="128"/>
      </rPr>
      <t xml:space="preserve">値（暖房期平均日射熱取得率）などを算出して下さい。
・複数の地域区分で応募する場合は、「UA値等」シートをコピーして、応募する地域区分の数だけ作成・入力して下さい。
</t>
    </r>
    <r>
      <rPr>
        <sz val="11"/>
        <color rgb="FFFF0000"/>
        <rFont val="メイリオ"/>
        <family val="3"/>
        <charset val="128"/>
      </rPr>
      <t>※同一の断熱仕様であっても「UA値等」シートは地域区分の数だけ必要です（U</t>
    </r>
    <r>
      <rPr>
        <vertAlign val="subscript"/>
        <sz val="11"/>
        <color rgb="FFFF0000"/>
        <rFont val="メイリオ"/>
        <family val="3"/>
        <charset val="128"/>
      </rPr>
      <t>A</t>
    </r>
    <r>
      <rPr>
        <sz val="11"/>
        <color rgb="FFFF0000"/>
        <rFont val="メイリオ"/>
        <family val="3"/>
        <charset val="128"/>
      </rPr>
      <t>値・η</t>
    </r>
    <r>
      <rPr>
        <vertAlign val="subscript"/>
        <sz val="11"/>
        <color rgb="FFFF0000"/>
        <rFont val="メイリオ"/>
        <family val="3"/>
        <charset val="128"/>
      </rPr>
      <t>AC</t>
    </r>
    <r>
      <rPr>
        <sz val="11"/>
        <color rgb="FFFF0000"/>
        <rFont val="メイリオ"/>
        <family val="3"/>
        <charset val="128"/>
      </rPr>
      <t>値・η</t>
    </r>
    <r>
      <rPr>
        <vertAlign val="subscript"/>
        <sz val="11"/>
        <color rgb="FFFF0000"/>
        <rFont val="メイリオ"/>
        <family val="3"/>
        <charset val="128"/>
      </rPr>
      <t>AH</t>
    </r>
    <r>
      <rPr>
        <sz val="11"/>
        <color rgb="FFFF0000"/>
        <rFont val="メイリオ"/>
        <family val="3"/>
        <charset val="128"/>
      </rPr>
      <t>値が異なる値となる場合があります）。</t>
    </r>
    <rPh sb="4" eb="5">
      <t>チ</t>
    </rPh>
    <rPh sb="5" eb="6">
      <t>トウ</t>
    </rPh>
    <rPh sb="14" eb="15">
      <t>チ</t>
    </rPh>
    <rPh sb="19" eb="21">
      <t>サンシュツ</t>
    </rPh>
    <rPh sb="23" eb="26">
      <t>カクブイ</t>
    </rPh>
    <rPh sb="28" eb="29">
      <t>チ</t>
    </rPh>
    <rPh sb="31" eb="32">
      <t>チ</t>
    </rPh>
    <rPh sb="36" eb="39">
      <t>ヒョウジュンテキ</t>
    </rPh>
    <rPh sb="40" eb="43">
      <t>カイコウブ</t>
    </rPh>
    <rPh sb="45" eb="46">
      <t>チ</t>
    </rPh>
    <rPh sb="46" eb="47">
      <t>トウ</t>
    </rPh>
    <rPh sb="48" eb="50">
      <t>テンキ</t>
    </rPh>
    <rPh sb="55" eb="57">
      <t>タテモノ</t>
    </rPh>
    <rPh sb="63" eb="64">
      <t>チ</t>
    </rPh>
    <rPh sb="65" eb="67">
      <t>ガイヒ</t>
    </rPh>
    <rPh sb="67" eb="69">
      <t>ヘイキン</t>
    </rPh>
    <rPh sb="69" eb="70">
      <t>ネツ</t>
    </rPh>
    <rPh sb="70" eb="72">
      <t>カンリュウ</t>
    </rPh>
    <rPh sb="72" eb="73">
      <t>リツ</t>
    </rPh>
    <rPh sb="96" eb="97">
      <t>チ</t>
    </rPh>
    <rPh sb="98" eb="100">
      <t>ダンボウ</t>
    </rPh>
    <rPh sb="100" eb="101">
      <t>キ</t>
    </rPh>
    <rPh sb="101" eb="103">
      <t>ヘイキン</t>
    </rPh>
    <rPh sb="103" eb="105">
      <t>ニッシャ</t>
    </rPh>
    <rPh sb="105" eb="106">
      <t>ネツ</t>
    </rPh>
    <rPh sb="106" eb="109">
      <t>シュトクリツ</t>
    </rPh>
    <rPh sb="113" eb="115">
      <t>サンシュツ</t>
    </rPh>
    <rPh sb="117" eb="118">
      <t>クダ</t>
    </rPh>
    <rPh sb="217" eb="218">
      <t>チ</t>
    </rPh>
    <rPh sb="222" eb="223">
      <t>チ</t>
    </rPh>
    <rPh sb="227" eb="228">
      <t>チ</t>
    </rPh>
    <rPh sb="229" eb="230">
      <t>コト</t>
    </rPh>
    <rPh sb="232" eb="233">
      <t>アタイ</t>
    </rPh>
    <rPh sb="236" eb="238">
      <t>バアイ</t>
    </rPh>
    <phoneticPr fontId="2"/>
  </si>
  <si>
    <r>
      <t>・U</t>
    </r>
    <r>
      <rPr>
        <vertAlign val="subscript"/>
        <sz val="10"/>
        <color theme="1"/>
        <rFont val="メイリオ"/>
        <family val="3"/>
        <charset val="128"/>
      </rPr>
      <t>A</t>
    </r>
    <r>
      <rPr>
        <sz val="10"/>
        <color theme="1"/>
        <rFont val="メイリオ"/>
        <family val="3"/>
        <charset val="128"/>
      </rPr>
      <t>値等の計算については、
①各部位・各方位の建物外皮面積が、このファイルに記載されている値に等しいこと（面積は1～3地域と4～8地域、および断熱部位（屋根/天井、床/基礎）により異なる点にご注意ください）
②計算過程の数値（部位ごとの面積、方位係数、温度差係数等）が表記されていること</t>
    </r>
    <rPh sb="3" eb="4">
      <t>チ</t>
    </rPh>
    <rPh sb="4" eb="5">
      <t>トウ</t>
    </rPh>
    <rPh sb="6" eb="8">
      <t>ケイサン</t>
    </rPh>
    <rPh sb="106" eb="108">
      <t>ケイサン</t>
    </rPh>
    <rPh sb="108" eb="110">
      <t>カテイ</t>
    </rPh>
    <rPh sb="111" eb="113">
      <t>スウチ</t>
    </rPh>
    <phoneticPr fontId="2"/>
  </si>
  <si>
    <t>各シートの右側に「入力上の注意事項」を記載しています。確認のうえ入力して下さい。
不明な点は　info@house-of-the-year.com　にお問い合わせ下さい。</t>
    <rPh sb="0" eb="1">
      <t>カク</t>
    </rPh>
    <rPh sb="5" eb="7">
      <t>ミギガワ</t>
    </rPh>
    <rPh sb="9" eb="11">
      <t>ニュウリョク</t>
    </rPh>
    <rPh sb="11" eb="12">
      <t>ウエ</t>
    </rPh>
    <rPh sb="13" eb="15">
      <t>チュウイ</t>
    </rPh>
    <rPh sb="15" eb="17">
      <t>ジコウ</t>
    </rPh>
    <rPh sb="19" eb="21">
      <t>キサイ</t>
    </rPh>
    <rPh sb="27" eb="29">
      <t>カクニン</t>
    </rPh>
    <rPh sb="32" eb="34">
      <t>ニュウリョク</t>
    </rPh>
    <rPh sb="36" eb="37">
      <t>クダ</t>
    </rPh>
    <rPh sb="41" eb="43">
      <t>フメイ</t>
    </rPh>
    <rPh sb="44" eb="45">
      <t>テン</t>
    </rPh>
    <rPh sb="76" eb="77">
      <t>ト</t>
    </rPh>
    <rPh sb="78" eb="79">
      <t>ア</t>
    </rPh>
    <rPh sb="81" eb="82">
      <t>クダ</t>
    </rPh>
    <phoneticPr fontId="2"/>
  </si>
  <si>
    <t>ハウス・オブ・ザ・イヤー 2025 資料②：入力要領</t>
    <rPh sb="22" eb="24">
      <t>ニュウリョク</t>
    </rPh>
    <rPh sb="24" eb="26">
      <t>ヨウリョウ</t>
    </rPh>
    <phoneticPr fontId="2"/>
  </si>
  <si>
    <r>
      <t>ハウス・オブ・ザ・イヤー 2025 資料②：U</t>
    </r>
    <r>
      <rPr>
        <vertAlign val="subscript"/>
        <sz val="11"/>
        <color theme="0"/>
        <rFont val="メイリオ"/>
        <family val="3"/>
        <charset val="128"/>
      </rPr>
      <t>A</t>
    </r>
    <r>
      <rPr>
        <sz val="11"/>
        <color theme="0"/>
        <rFont val="メイリオ"/>
        <family val="3"/>
        <charset val="128"/>
      </rPr>
      <t>値等(2)</t>
    </r>
    <rPh sb="24" eb="25">
      <t>チ</t>
    </rPh>
    <rPh sb="25" eb="26">
      <t>トウ</t>
    </rPh>
    <phoneticPr fontId="2"/>
  </si>
  <si>
    <r>
      <t>ハウス・オブ・ザ・イヤー 2025 資料②：U</t>
    </r>
    <r>
      <rPr>
        <vertAlign val="subscript"/>
        <sz val="11"/>
        <color theme="0"/>
        <rFont val="メイリオ"/>
        <family val="3"/>
        <charset val="128"/>
      </rPr>
      <t>A</t>
    </r>
    <r>
      <rPr>
        <sz val="11"/>
        <color theme="0"/>
        <rFont val="メイリオ"/>
        <family val="3"/>
        <charset val="128"/>
      </rPr>
      <t>値等(3)</t>
    </r>
    <rPh sb="24" eb="25">
      <t>チ</t>
    </rPh>
    <rPh sb="25" eb="26">
      <t>トウ</t>
    </rPh>
    <phoneticPr fontId="2"/>
  </si>
  <si>
    <r>
      <t>ハウス・オブ・ザ・イヤー 2025 資料②：U</t>
    </r>
    <r>
      <rPr>
        <vertAlign val="subscript"/>
        <sz val="11"/>
        <color theme="0"/>
        <rFont val="メイリオ"/>
        <family val="3"/>
        <charset val="128"/>
      </rPr>
      <t>A</t>
    </r>
    <r>
      <rPr>
        <sz val="11"/>
        <color theme="0"/>
        <rFont val="メイリオ"/>
        <family val="3"/>
        <charset val="128"/>
      </rPr>
      <t>値等(4)</t>
    </r>
    <rPh sb="24" eb="25">
      <t>チ</t>
    </rPh>
    <rPh sb="25" eb="26">
      <t>トウ</t>
    </rPh>
    <phoneticPr fontId="2"/>
  </si>
  <si>
    <r>
      <t>ハウス・オブ・ザ・イヤー 2025 資料②：U</t>
    </r>
    <r>
      <rPr>
        <vertAlign val="subscript"/>
        <sz val="11"/>
        <color theme="0"/>
        <rFont val="メイリオ"/>
        <family val="3"/>
        <charset val="128"/>
      </rPr>
      <t>A</t>
    </r>
    <r>
      <rPr>
        <sz val="11"/>
        <color theme="0"/>
        <rFont val="メイリオ"/>
        <family val="3"/>
        <charset val="128"/>
      </rPr>
      <t>値等</t>
    </r>
    <rPh sb="24" eb="25">
      <t>チ</t>
    </rPh>
    <rPh sb="25" eb="26">
      <t>トウ</t>
    </rPh>
    <phoneticPr fontId="2"/>
  </si>
  <si>
    <t>ハウス・オブ・ザ・イヤー 2025 資料②：U値</t>
    <rPh sb="23" eb="24">
      <t>チ</t>
    </rPh>
    <phoneticPr fontId="2"/>
  </si>
  <si>
    <t>ハウス・オブ・ザ・イヤー 2025 資料②：U値(2)</t>
    <rPh sb="23" eb="24">
      <t>チ</t>
    </rPh>
    <phoneticPr fontId="2"/>
  </si>
  <si>
    <t>ハウス・オブ・ザ・イヤー 2025 資料②：U値(3)</t>
    <rPh sb="23" eb="24">
      <t>チ</t>
    </rPh>
    <phoneticPr fontId="2"/>
  </si>
  <si>
    <t>ハウス・オブ・ザ・イヤー 2025 資料②：付録</t>
    <rPh sb="22" eb="24">
      <t>フロク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</si>
</sst>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_ "/>
    <numFmt numFmtId="178" formatCode="0.000_ "/>
    <numFmt numFmtId="179" formatCode="0.000_);[Red]\(0.000\)"/>
    <numFmt numFmtId="180" formatCode="0.00_);[Red]\(0.00\)"/>
    <numFmt numFmtId="181" formatCode="0_);[Red]\(0\)"/>
  </numFmts>
  <fonts count="50" x14ac:knownFonts="1">
    <font>
      <sz val="11"/>
      <color theme="1"/>
      <name val="ＭＳ Ｐゴシック"/>
      <family val="2"/>
      <charset val="128"/>
      <scheme val="minor"/>
    </font>
    <font>
      <sz val="10"/>
      <color theme="1"/>
      <name val="HGPｺﾞｼｯｸM"/>
      <family val="3"/>
      <charset val="128"/>
    </font>
    <font>
      <sz val="6"/>
      <name val="ＭＳ Ｐゴシック"/>
      <family val="2"/>
      <charset val="128"/>
      <scheme val="minor"/>
    </font>
    <font>
      <sz val="11"/>
      <color theme="1"/>
      <name val="HGPｺﾞｼｯｸM"/>
      <family val="3"/>
      <charset val="128"/>
    </font>
    <font>
      <sz val="9"/>
      <color theme="1"/>
      <name val="HGPｺﾞｼｯｸM"/>
      <family val="3"/>
      <charset val="128"/>
    </font>
    <font>
      <sz val="16"/>
      <color theme="1"/>
      <name val="HGPｺﾞｼｯｸM"/>
      <family val="3"/>
      <charset val="128"/>
    </font>
    <font>
      <sz val="16"/>
      <color theme="1"/>
      <name val="ＭＳ Ｐゴシック"/>
      <family val="2"/>
      <charset val="128"/>
      <scheme val="minor"/>
    </font>
    <font>
      <sz val="6"/>
      <name val="ＭＳ Ｐゴシック"/>
      <family val="3"/>
      <charset val="128"/>
    </font>
    <font>
      <sz val="10"/>
      <color rgb="FF0070C0"/>
      <name val="ＭＳ Ｐゴシック"/>
      <family val="2"/>
      <charset val="128"/>
      <scheme val="minor"/>
    </font>
    <font>
      <sz val="11"/>
      <color theme="0"/>
      <name val="メイリオ"/>
      <family val="3"/>
      <charset val="128"/>
    </font>
    <font>
      <sz val="9"/>
      <color theme="0"/>
      <name val="メイリオ"/>
      <family val="3"/>
      <charset val="128"/>
    </font>
    <font>
      <sz val="9"/>
      <color theme="1"/>
      <name val="メイリオ"/>
      <family val="3"/>
      <charset val="128"/>
    </font>
    <font>
      <b/>
      <sz val="11"/>
      <name val="メイリオ"/>
      <family val="3"/>
      <charset val="128"/>
    </font>
    <font>
      <sz val="16"/>
      <color theme="1"/>
      <name val="メイリオ"/>
      <family val="3"/>
      <charset val="128"/>
    </font>
    <font>
      <sz val="11"/>
      <color theme="1"/>
      <name val="メイリオ"/>
      <family val="3"/>
      <charset val="128"/>
    </font>
    <font>
      <sz val="10"/>
      <color theme="1"/>
      <name val="メイリオ"/>
      <family val="3"/>
      <charset val="128"/>
    </font>
    <font>
      <sz val="9"/>
      <color theme="0" tint="-0.499984740745262"/>
      <name val="メイリオ"/>
      <family val="3"/>
      <charset val="128"/>
    </font>
    <font>
      <sz val="10"/>
      <color rgb="FF0070C0"/>
      <name val="メイリオ"/>
      <family val="3"/>
      <charset val="128"/>
    </font>
    <font>
      <sz val="9"/>
      <color rgb="FF0070C0"/>
      <name val="メイリオ"/>
      <family val="3"/>
      <charset val="128"/>
    </font>
    <font>
      <sz val="10"/>
      <color theme="0"/>
      <name val="メイリオ"/>
      <family val="3"/>
      <charset val="128"/>
    </font>
    <font>
      <vertAlign val="superscript"/>
      <sz val="9"/>
      <color theme="1"/>
      <name val="メイリオ"/>
      <family val="3"/>
      <charset val="128"/>
    </font>
    <font>
      <b/>
      <sz val="9"/>
      <color rgb="FFFF0000"/>
      <name val="メイリオ"/>
      <family val="3"/>
      <charset val="128"/>
    </font>
    <font>
      <sz val="12"/>
      <color theme="1"/>
      <name val="メイリオ"/>
      <family val="3"/>
      <charset val="128"/>
    </font>
    <font>
      <sz val="10"/>
      <color rgb="FFFF0000"/>
      <name val="メイリオ"/>
      <family val="3"/>
      <charset val="128"/>
    </font>
    <font>
      <sz val="8"/>
      <color theme="1"/>
      <name val="メイリオ"/>
      <family val="3"/>
      <charset val="128"/>
    </font>
    <font>
      <sz val="9"/>
      <name val="メイリオ"/>
      <family val="3"/>
      <charset val="128"/>
    </font>
    <font>
      <sz val="10"/>
      <name val="メイリオ"/>
      <family val="3"/>
      <charset val="128"/>
    </font>
    <font>
      <vertAlign val="subscript"/>
      <sz val="11"/>
      <color theme="0"/>
      <name val="メイリオ"/>
      <family val="3"/>
      <charset val="128"/>
    </font>
    <font>
      <vertAlign val="subscript"/>
      <sz val="9"/>
      <color theme="1"/>
      <name val="メイリオ"/>
      <family val="3"/>
      <charset val="128"/>
    </font>
    <font>
      <b/>
      <sz val="10"/>
      <color rgb="FFFF0000"/>
      <name val="メイリオ"/>
      <family val="3"/>
      <charset val="128"/>
    </font>
    <font>
      <sz val="10"/>
      <color theme="1"/>
      <name val="ＭＳ Ｐゴシック"/>
      <family val="2"/>
      <charset val="128"/>
      <scheme val="minor"/>
    </font>
    <font>
      <sz val="10"/>
      <color theme="0" tint="-0.499984740745262"/>
      <name val="HGPｺﾞｼｯｸM"/>
      <family val="3"/>
      <charset val="128"/>
    </font>
    <font>
      <sz val="10"/>
      <color theme="0" tint="-0.499984740745262"/>
      <name val="メイリオ"/>
      <family val="3"/>
      <charset val="128"/>
    </font>
    <font>
      <vertAlign val="superscript"/>
      <sz val="8"/>
      <color theme="1"/>
      <name val="メイリオ"/>
      <family val="3"/>
      <charset val="128"/>
    </font>
    <font>
      <vertAlign val="superscript"/>
      <sz val="10"/>
      <color theme="1"/>
      <name val="メイリオ"/>
      <family val="3"/>
      <charset val="128"/>
    </font>
    <font>
      <sz val="12"/>
      <name val="メイリオ"/>
      <family val="3"/>
      <charset val="128"/>
    </font>
    <font>
      <b/>
      <sz val="12"/>
      <color rgb="FFFF0000"/>
      <name val="メイリオ"/>
      <family val="3"/>
      <charset val="128"/>
    </font>
    <font>
      <b/>
      <sz val="9"/>
      <color rgb="FF0070C0"/>
      <name val="メイリオ"/>
      <family val="3"/>
      <charset val="128"/>
    </font>
    <font>
      <sz val="11"/>
      <color rgb="FFFF0000"/>
      <name val="メイリオ"/>
      <family val="3"/>
      <charset val="128"/>
    </font>
    <font>
      <b/>
      <sz val="11"/>
      <color theme="1"/>
      <name val="メイリオ"/>
      <family val="3"/>
      <charset val="128"/>
    </font>
    <font>
      <b/>
      <vertAlign val="subscript"/>
      <sz val="11"/>
      <color theme="1"/>
      <name val="メイリオ"/>
      <family val="3"/>
      <charset val="128"/>
    </font>
    <font>
      <sz val="9"/>
      <color rgb="FFFF0000"/>
      <name val="メイリオ"/>
      <family val="3"/>
      <charset val="128"/>
    </font>
    <font>
      <b/>
      <sz val="11"/>
      <color rgb="FFFF0000"/>
      <name val="メイリオ"/>
      <family val="3"/>
      <charset val="128"/>
    </font>
    <font>
      <vertAlign val="subscript"/>
      <sz val="11"/>
      <color theme="1"/>
      <name val="メイリオ"/>
      <family val="3"/>
      <charset val="128"/>
    </font>
    <font>
      <sz val="14"/>
      <name val="メイリオ"/>
      <family val="3"/>
      <charset val="128"/>
    </font>
    <font>
      <b/>
      <sz val="14"/>
      <color rgb="FFFF0000"/>
      <name val="メイリオ"/>
      <family val="3"/>
      <charset val="128"/>
    </font>
    <font>
      <vertAlign val="subscript"/>
      <sz val="14"/>
      <name val="メイリオ"/>
      <family val="3"/>
      <charset val="128"/>
    </font>
    <font>
      <b/>
      <vertAlign val="subscript"/>
      <sz val="14"/>
      <color rgb="FFFF0000"/>
      <name val="メイリオ"/>
      <family val="3"/>
      <charset val="128"/>
    </font>
    <font>
      <vertAlign val="subscript"/>
      <sz val="11"/>
      <color rgb="FFFF0000"/>
      <name val="メイリオ"/>
      <family val="3"/>
      <charset val="128"/>
    </font>
    <font>
      <vertAlign val="subscript"/>
      <sz val="10"/>
      <color theme="1"/>
      <name val="メイリオ"/>
      <family val="3"/>
      <charset val="128"/>
    </font>
  </fonts>
  <fills count="16">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indexed="42"/>
        <bgColor indexed="64"/>
      </patternFill>
    </fill>
    <fill>
      <patternFill patternType="solid">
        <fgColor rgb="FFFFFFCC"/>
        <bgColor indexed="64"/>
      </patternFill>
    </fill>
    <fill>
      <patternFill patternType="solid">
        <fgColor rgb="FFDDDDDD"/>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00"/>
        <bgColor indexed="64"/>
      </patternFill>
    </fill>
    <fill>
      <patternFill patternType="solid">
        <fgColor rgb="FF66FFFF"/>
        <bgColor indexed="64"/>
      </patternFill>
    </fill>
    <fill>
      <patternFill patternType="solid">
        <fgColor theme="0" tint="-4.9989318521683403E-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theme="6" tint="0.39997558519241921"/>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rgb="FFFF0000"/>
      </left>
      <right style="thick">
        <color rgb="FFFF0000"/>
      </right>
      <top style="thick">
        <color rgb="FFFF0000"/>
      </top>
      <bottom style="thick">
        <color rgb="FFFF0000"/>
      </bottom>
      <diagonal/>
    </border>
    <border>
      <left/>
      <right style="thin">
        <color rgb="FFFF000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dotted">
        <color indexed="64"/>
      </top>
      <bottom style="dotted">
        <color indexed="64"/>
      </bottom>
      <diagonal style="thin">
        <color indexed="64"/>
      </diagonal>
    </border>
    <border>
      <left style="thin">
        <color indexed="64"/>
      </left>
      <right style="thin">
        <color indexed="64"/>
      </right>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style="thick">
        <color rgb="FF0070C0"/>
      </right>
      <top style="thick">
        <color rgb="FF0070C0"/>
      </top>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thin">
        <color indexed="64"/>
      </right>
      <top/>
      <bottom style="dotted">
        <color indexed="64"/>
      </bottom>
      <diagonal/>
    </border>
    <border>
      <left/>
      <right style="thin">
        <color indexed="64"/>
      </right>
      <top style="dotted">
        <color indexed="64"/>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ck">
        <color auto="1"/>
      </left>
      <right/>
      <top style="thick">
        <color auto="1"/>
      </top>
      <bottom/>
      <diagonal/>
    </border>
    <border>
      <left style="thick">
        <color auto="1"/>
      </left>
      <right/>
      <top/>
      <bottom style="thick">
        <color auto="1"/>
      </bottom>
      <diagonal/>
    </border>
    <border>
      <left/>
      <right style="thick">
        <color auto="1"/>
      </right>
      <top style="thick">
        <color auto="1"/>
      </top>
      <bottom/>
      <diagonal/>
    </border>
    <border>
      <left/>
      <right style="thick">
        <color auto="1"/>
      </right>
      <top/>
      <bottom style="thick">
        <color auto="1"/>
      </bottom>
      <diagonal/>
    </border>
    <border>
      <left style="thick">
        <color rgb="FFFF0000"/>
      </left>
      <right style="thick">
        <color rgb="FFFF0000"/>
      </right>
      <top style="thick">
        <color rgb="FFFF0000"/>
      </top>
      <bottom/>
      <diagonal/>
    </border>
    <border>
      <left style="thick">
        <color rgb="FFFF0000"/>
      </left>
      <right style="thick">
        <color rgb="FFFF0000"/>
      </right>
      <top/>
      <bottom style="thick">
        <color rgb="FFFF0000"/>
      </bottom>
      <diagonal/>
    </border>
    <border>
      <left/>
      <right/>
      <top style="thick">
        <color auto="1"/>
      </top>
      <bottom/>
      <diagonal/>
    </border>
    <border>
      <left/>
      <right/>
      <top/>
      <bottom style="thick">
        <color auto="1"/>
      </bottom>
      <diagonal/>
    </border>
    <border>
      <left style="thick">
        <color rgb="FFFF0000"/>
      </left>
      <right/>
      <top/>
      <bottom/>
      <diagonal/>
    </border>
    <border diagonalUp="1">
      <left style="thin">
        <color indexed="64"/>
      </left>
      <right style="thin">
        <color indexed="64"/>
      </right>
      <top style="dotted">
        <color indexed="64"/>
      </top>
      <bottom style="double">
        <color indexed="64"/>
      </bottom>
      <diagonal style="thin">
        <color indexed="64"/>
      </diagonal>
    </border>
    <border>
      <left style="thin">
        <color indexed="64"/>
      </left>
      <right/>
      <top style="dotted">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ck">
        <color auto="1"/>
      </bottom>
      <diagonal/>
    </border>
    <border>
      <left/>
      <right/>
      <top/>
      <bottom style="thick">
        <color rgb="FF0070C0"/>
      </bottom>
      <diagonal/>
    </border>
    <border>
      <left/>
      <right/>
      <top style="thick">
        <color rgb="FF0070C0"/>
      </top>
      <bottom/>
      <diagonal/>
    </border>
  </borders>
  <cellStyleXfs count="1">
    <xf numFmtId="0" fontId="0" fillId="0" borderId="0">
      <alignment vertical="center"/>
    </xf>
  </cellStyleXfs>
  <cellXfs count="479">
    <xf numFmtId="0" fontId="0" fillId="0" borderId="0" xfId="0">
      <alignment vertical="center"/>
    </xf>
    <xf numFmtId="0" fontId="1" fillId="0" borderId="0" xfId="0" applyFont="1">
      <alignment vertical="center"/>
    </xf>
    <xf numFmtId="0" fontId="3" fillId="0" borderId="0" xfId="0" applyFont="1">
      <alignment vertical="center"/>
    </xf>
    <xf numFmtId="0" fontId="6" fillId="0" borderId="0" xfId="0" applyFont="1">
      <alignment vertical="center"/>
    </xf>
    <xf numFmtId="0" fontId="0" fillId="0" borderId="0" xfId="0" applyAlignment="1">
      <alignment horizontal="center" vertical="center"/>
    </xf>
    <xf numFmtId="0" fontId="9" fillId="8" borderId="0" xfId="0" applyFont="1" applyFill="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pplyAlignment="1">
      <alignment horizontal="right" vertical="center"/>
    </xf>
    <xf numFmtId="0" fontId="11" fillId="2" borderId="1" xfId="0" applyFont="1" applyFill="1" applyBorder="1" applyAlignment="1">
      <alignment horizontal="center" vertical="center" wrapText="1"/>
    </xf>
    <xf numFmtId="0" fontId="11" fillId="0" borderId="0" xfId="0" applyFont="1">
      <alignment vertical="center"/>
    </xf>
    <xf numFmtId="176" fontId="11" fillId="3" borderId="1" xfId="0" applyNumberFormat="1" applyFont="1" applyFill="1" applyBorder="1" applyProtection="1">
      <alignment vertical="center"/>
      <protection locked="0"/>
    </xf>
    <xf numFmtId="0" fontId="22" fillId="0" borderId="0" xfId="0" applyFont="1">
      <alignment vertical="center"/>
    </xf>
    <xf numFmtId="179" fontId="11" fillId="3" borderId="16" xfId="0" applyNumberFormat="1" applyFont="1" applyFill="1" applyBorder="1" applyProtection="1">
      <alignment vertical="center"/>
      <protection locked="0"/>
    </xf>
    <xf numFmtId="177" fontId="11" fillId="3" borderId="16" xfId="0" applyNumberFormat="1" applyFont="1" applyFill="1" applyBorder="1" applyProtection="1">
      <alignment vertical="center"/>
      <protection locked="0"/>
    </xf>
    <xf numFmtId="178" fontId="11" fillId="3" borderId="16" xfId="0" applyNumberFormat="1" applyFont="1" applyFill="1" applyBorder="1" applyProtection="1">
      <alignment vertical="center"/>
      <protection locked="0"/>
    </xf>
    <xf numFmtId="179" fontId="11" fillId="3" borderId="14" xfId="0" applyNumberFormat="1" applyFont="1" applyFill="1" applyBorder="1" applyProtection="1">
      <alignment vertical="center"/>
      <protection locked="0"/>
    </xf>
    <xf numFmtId="177" fontId="11" fillId="3" borderId="14" xfId="0" applyNumberFormat="1" applyFont="1" applyFill="1" applyBorder="1" applyProtection="1">
      <alignment vertical="center"/>
      <protection locked="0"/>
    </xf>
    <xf numFmtId="178" fontId="11" fillId="3" borderId="14" xfId="0" applyNumberFormat="1" applyFont="1" applyFill="1" applyBorder="1" applyProtection="1">
      <alignment vertical="center"/>
      <protection locked="0"/>
    </xf>
    <xf numFmtId="179" fontId="11" fillId="3" borderId="12" xfId="0" applyNumberFormat="1" applyFont="1" applyFill="1" applyBorder="1" applyProtection="1">
      <alignment vertical="center"/>
      <protection locked="0"/>
    </xf>
    <xf numFmtId="177" fontId="11" fillId="3" borderId="12" xfId="0" applyNumberFormat="1" applyFont="1" applyFill="1" applyBorder="1" applyProtection="1">
      <alignment vertical="center"/>
      <protection locked="0"/>
    </xf>
    <xf numFmtId="178" fontId="11" fillId="3" borderId="46" xfId="0" applyNumberFormat="1" applyFont="1" applyFill="1" applyBorder="1" applyProtection="1">
      <alignment vertical="center"/>
      <protection locked="0"/>
    </xf>
    <xf numFmtId="0" fontId="25" fillId="4" borderId="1" xfId="0" applyFont="1" applyFill="1" applyBorder="1" applyAlignment="1">
      <alignment horizontal="center" vertical="center" wrapText="1"/>
    </xf>
    <xf numFmtId="180" fontId="25" fillId="0" borderId="1" xfId="0" applyNumberFormat="1" applyFont="1" applyBorder="1">
      <alignment vertical="center"/>
    </xf>
    <xf numFmtId="178" fontId="25" fillId="0" borderId="1" xfId="0" applyNumberFormat="1" applyFont="1" applyBorder="1">
      <alignment vertical="center"/>
    </xf>
    <xf numFmtId="0" fontId="11" fillId="2" borderId="1" xfId="0" applyFont="1" applyFill="1" applyBorder="1" applyAlignment="1">
      <alignment horizontal="center" vertical="center"/>
    </xf>
    <xf numFmtId="0" fontId="26" fillId="0" borderId="0" xfId="0" applyFont="1" applyAlignment="1">
      <alignment vertical="center" wrapText="1"/>
    </xf>
    <xf numFmtId="176" fontId="15" fillId="0" borderId="0" xfId="0" applyNumberFormat="1" applyFont="1">
      <alignment vertical="center"/>
    </xf>
    <xf numFmtId="0" fontId="25" fillId="0" borderId="0" xfId="0" applyFont="1" applyAlignment="1">
      <alignment horizontal="center" vertical="center" wrapText="1"/>
    </xf>
    <xf numFmtId="0" fontId="11" fillId="0" borderId="0" xfId="0" applyFont="1" applyAlignment="1">
      <alignment vertical="center" wrapText="1"/>
    </xf>
    <xf numFmtId="0" fontId="15" fillId="9" borderId="1" xfId="0" applyFont="1" applyFill="1" applyBorder="1" applyAlignment="1" applyProtection="1">
      <alignment vertical="center" shrinkToFit="1"/>
      <protection locked="0"/>
    </xf>
    <xf numFmtId="0" fontId="15" fillId="0" borderId="39" xfId="0" applyFont="1" applyBorder="1" applyAlignment="1">
      <alignment vertical="center" shrinkToFit="1"/>
    </xf>
    <xf numFmtId="0" fontId="15" fillId="0" borderId="42" xfId="0" applyFont="1" applyBorder="1" applyAlignment="1">
      <alignment vertical="center" shrinkToFit="1"/>
    </xf>
    <xf numFmtId="0" fontId="15" fillId="0" borderId="38" xfId="0" applyFont="1" applyBorder="1">
      <alignment vertical="center"/>
    </xf>
    <xf numFmtId="0" fontId="15" fillId="0" borderId="39" xfId="0" applyFont="1" applyBorder="1">
      <alignment vertical="center"/>
    </xf>
    <xf numFmtId="0" fontId="15" fillId="3" borderId="1" xfId="0" applyFont="1" applyFill="1" applyBorder="1">
      <alignment vertical="center"/>
    </xf>
    <xf numFmtId="0" fontId="15" fillId="9" borderId="1" xfId="0" applyFont="1" applyFill="1" applyBorder="1">
      <alignment vertical="center"/>
    </xf>
    <xf numFmtId="0" fontId="15" fillId="6" borderId="1" xfId="0" applyFont="1" applyFill="1" applyBorder="1">
      <alignment vertical="center"/>
    </xf>
    <xf numFmtId="0" fontId="29" fillId="6" borderId="35" xfId="0" applyFont="1" applyFill="1" applyBorder="1">
      <alignment vertical="center"/>
    </xf>
    <xf numFmtId="0" fontId="15" fillId="0" borderId="42" xfId="0" applyFont="1" applyBorder="1">
      <alignment vertical="center"/>
    </xf>
    <xf numFmtId="0" fontId="15" fillId="0" borderId="43" xfId="0" applyFont="1" applyBorder="1">
      <alignment vertical="center"/>
    </xf>
    <xf numFmtId="0" fontId="30" fillId="0" borderId="0" xfId="0" applyFont="1">
      <alignment vertical="center"/>
    </xf>
    <xf numFmtId="0" fontId="31" fillId="0" borderId="0" xfId="0" applyFont="1" applyAlignment="1">
      <alignment horizontal="right" vertical="center"/>
    </xf>
    <xf numFmtId="0" fontId="32" fillId="0" borderId="0" xfId="0" applyFont="1" applyAlignment="1">
      <alignment horizontal="right" vertical="center"/>
    </xf>
    <xf numFmtId="0" fontId="15" fillId="0" borderId="0" xfId="0" applyFont="1" applyAlignment="1">
      <alignment vertical="center" wrapText="1" shrinkToFit="1"/>
    </xf>
    <xf numFmtId="0" fontId="15" fillId="0" borderId="37" xfId="0" applyFont="1" applyBorder="1">
      <alignment vertical="center"/>
    </xf>
    <xf numFmtId="0" fontId="15" fillId="0" borderId="40" xfId="0" applyFont="1" applyBorder="1">
      <alignment vertical="center"/>
    </xf>
    <xf numFmtId="0" fontId="15" fillId="0" borderId="41" xfId="0" applyFont="1" applyBorder="1">
      <alignment vertical="center"/>
    </xf>
    <xf numFmtId="0" fontId="15" fillId="0" borderId="44" xfId="0" applyFont="1" applyBorder="1">
      <alignment vertical="center"/>
    </xf>
    <xf numFmtId="176" fontId="11" fillId="0" borderId="1" xfId="0" applyNumberFormat="1" applyFont="1" applyBorder="1" applyAlignment="1">
      <alignment horizontal="center" vertical="center"/>
    </xf>
    <xf numFmtId="0" fontId="10" fillId="8" borderId="0" xfId="0" applyFont="1" applyFill="1" applyAlignment="1">
      <alignment horizontal="right" vertical="center"/>
    </xf>
    <xf numFmtId="176" fontId="11" fillId="10" borderId="1" xfId="0" applyNumberFormat="1" applyFont="1" applyFill="1" applyBorder="1" applyAlignment="1">
      <alignment horizontal="center" vertical="center"/>
    </xf>
    <xf numFmtId="176" fontId="11" fillId="10" borderId="2" xfId="0" applyNumberFormat="1" applyFont="1" applyFill="1" applyBorder="1">
      <alignment vertical="center"/>
    </xf>
    <xf numFmtId="180" fontId="25" fillId="10" borderId="1" xfId="0" applyNumberFormat="1" applyFont="1" applyFill="1" applyBorder="1">
      <alignment vertical="center"/>
    </xf>
    <xf numFmtId="178" fontId="25" fillId="10" borderId="1" xfId="0" applyNumberFormat="1" applyFont="1" applyFill="1" applyBorder="1">
      <alignment vertical="center"/>
    </xf>
    <xf numFmtId="176" fontId="25" fillId="0" borderId="1" xfId="0" quotePrefix="1" applyNumberFormat="1" applyFont="1" applyBorder="1" applyAlignment="1">
      <alignment horizontal="right" vertical="center"/>
    </xf>
    <xf numFmtId="176" fontId="25" fillId="10" borderId="1" xfId="0" applyNumberFormat="1" applyFont="1" applyFill="1" applyBorder="1">
      <alignment vertical="center"/>
    </xf>
    <xf numFmtId="178" fontId="11" fillId="3" borderId="16" xfId="0" applyNumberFormat="1" applyFont="1" applyFill="1" applyBorder="1" applyAlignment="1" applyProtection="1">
      <alignment vertical="center" shrinkToFit="1"/>
      <protection locked="0"/>
    </xf>
    <xf numFmtId="178" fontId="11" fillId="3" borderId="14" xfId="0" applyNumberFormat="1" applyFont="1" applyFill="1" applyBorder="1" applyAlignment="1" applyProtection="1">
      <alignment vertical="center" shrinkToFit="1"/>
      <protection locked="0"/>
    </xf>
    <xf numFmtId="178" fontId="11" fillId="3" borderId="46" xfId="0" applyNumberFormat="1" applyFont="1" applyFill="1" applyBorder="1" applyAlignment="1" applyProtection="1">
      <alignment vertical="center" shrinkToFit="1"/>
      <protection locked="0"/>
    </xf>
    <xf numFmtId="178" fontId="11" fillId="3" borderId="55" xfId="0" applyNumberFormat="1" applyFont="1" applyFill="1" applyBorder="1" applyAlignment="1" applyProtection="1">
      <alignment vertical="center" shrinkToFit="1"/>
      <protection locked="0"/>
    </xf>
    <xf numFmtId="178" fontId="11" fillId="3" borderId="13" xfId="0" applyNumberFormat="1" applyFont="1" applyFill="1" applyBorder="1" applyAlignment="1" applyProtection="1">
      <alignment vertical="center" shrinkToFit="1"/>
      <protection locked="0"/>
    </xf>
    <xf numFmtId="176" fontId="11" fillId="3" borderId="16" xfId="0" applyNumberFormat="1" applyFont="1" applyFill="1" applyBorder="1" applyAlignment="1" applyProtection="1">
      <alignment vertical="center" shrinkToFit="1"/>
      <protection locked="0"/>
    </xf>
    <xf numFmtId="176" fontId="11" fillId="3" borderId="14" xfId="0" applyNumberFormat="1" applyFont="1" applyFill="1" applyBorder="1" applyAlignment="1" applyProtection="1">
      <alignment vertical="center" shrinkToFit="1"/>
      <protection locked="0"/>
    </xf>
    <xf numFmtId="176" fontId="11" fillId="3" borderId="46" xfId="0" applyNumberFormat="1" applyFont="1" applyFill="1" applyBorder="1" applyAlignment="1" applyProtection="1">
      <alignment vertical="center" shrinkToFit="1"/>
      <protection locked="0"/>
    </xf>
    <xf numFmtId="176" fontId="15" fillId="0" borderId="1" xfId="0" applyNumberFormat="1" applyFont="1" applyBorder="1" applyAlignment="1">
      <alignment horizontal="center" vertical="center"/>
    </xf>
    <xf numFmtId="0" fontId="9" fillId="0" borderId="0" xfId="0" applyFont="1">
      <alignment vertical="center"/>
    </xf>
    <xf numFmtId="0" fontId="5" fillId="0" borderId="0" xfId="0" applyFont="1">
      <alignment vertical="center"/>
    </xf>
    <xf numFmtId="0" fontId="10" fillId="0" borderId="0" xfId="0" applyFont="1" applyAlignment="1">
      <alignment horizontal="right" vertical="center"/>
    </xf>
    <xf numFmtId="178" fontId="11" fillId="3" borderId="17" xfId="0" applyNumberFormat="1" applyFont="1" applyFill="1" applyBorder="1" applyAlignment="1" applyProtection="1">
      <alignment vertical="center" shrinkToFit="1"/>
      <protection locked="0"/>
    </xf>
    <xf numFmtId="0" fontId="15" fillId="5" borderId="1" xfId="0" applyFont="1" applyFill="1" applyBorder="1">
      <alignment vertical="center"/>
    </xf>
    <xf numFmtId="0" fontId="15" fillId="5" borderId="1" xfId="0" applyFont="1" applyFill="1" applyBorder="1" applyAlignment="1">
      <alignment vertical="center" shrinkToFit="1"/>
    </xf>
    <xf numFmtId="0" fontId="11" fillId="5" borderId="1" xfId="0" applyFont="1" applyFill="1" applyBorder="1" applyAlignment="1">
      <alignment horizontal="center" vertical="center"/>
    </xf>
    <xf numFmtId="176" fontId="15" fillId="10" borderId="1" xfId="0" applyNumberFormat="1" applyFont="1" applyFill="1" applyBorder="1" applyAlignment="1">
      <alignment horizontal="center" vertical="center"/>
    </xf>
    <xf numFmtId="179" fontId="25" fillId="0" borderId="1" xfId="0" applyNumberFormat="1" applyFont="1" applyBorder="1">
      <alignment vertical="center"/>
    </xf>
    <xf numFmtId="0" fontId="24" fillId="0" borderId="0" xfId="0" applyFont="1" applyAlignment="1">
      <alignment horizontal="left" vertical="center" wrapText="1"/>
    </xf>
    <xf numFmtId="0" fontId="15" fillId="2" borderId="1" xfId="0" applyFont="1" applyFill="1" applyBorder="1" applyAlignment="1">
      <alignment horizontal="center" vertical="center" shrinkToFit="1"/>
    </xf>
    <xf numFmtId="176" fontId="11" fillId="3" borderId="13" xfId="0" applyNumberFormat="1" applyFont="1" applyFill="1" applyBorder="1" applyAlignment="1" applyProtection="1">
      <alignment vertical="center" shrinkToFit="1"/>
      <protection locked="0"/>
    </xf>
    <xf numFmtId="176" fontId="11" fillId="3" borderId="54" xfId="0" applyNumberFormat="1" applyFont="1" applyFill="1" applyBorder="1" applyAlignment="1" applyProtection="1">
      <alignment vertical="center" shrinkToFit="1"/>
      <protection locked="0"/>
    </xf>
    <xf numFmtId="0" fontId="15" fillId="5" borderId="12" xfId="0" applyFont="1" applyFill="1" applyBorder="1" applyAlignment="1">
      <alignment horizontal="center" vertical="center"/>
    </xf>
    <xf numFmtId="176" fontId="15" fillId="0" borderId="12" xfId="0" applyNumberFormat="1" applyFont="1" applyBorder="1">
      <alignment vertical="center"/>
    </xf>
    <xf numFmtId="0" fontId="15" fillId="5" borderId="13" xfId="0" applyFont="1" applyFill="1" applyBorder="1" applyAlignment="1">
      <alignment horizontal="center" vertical="center"/>
    </xf>
    <xf numFmtId="176" fontId="15" fillId="0" borderId="13" xfId="0" applyNumberFormat="1" applyFont="1" applyBorder="1">
      <alignment vertical="center"/>
    </xf>
    <xf numFmtId="176" fontId="15" fillId="10" borderId="13" xfId="0" applyNumberFormat="1" applyFont="1" applyFill="1" applyBorder="1">
      <alignment vertical="center"/>
    </xf>
    <xf numFmtId="176" fontId="15" fillId="10" borderId="12" xfId="0" applyNumberFormat="1" applyFont="1" applyFill="1" applyBorder="1">
      <alignment vertical="center"/>
    </xf>
    <xf numFmtId="181" fontId="25" fillId="0" borderId="1" xfId="0" applyNumberFormat="1" applyFont="1" applyBorder="1">
      <alignment vertical="center"/>
    </xf>
    <xf numFmtId="181" fontId="25" fillId="10" borderId="1" xfId="0" applyNumberFormat="1" applyFont="1" applyFill="1" applyBorder="1">
      <alignment vertical="center"/>
    </xf>
    <xf numFmtId="0" fontId="15" fillId="0" borderId="0" xfId="0" applyFont="1" applyAlignment="1">
      <alignment vertical="center" wrapText="1"/>
    </xf>
    <xf numFmtId="178" fontId="11" fillId="3" borderId="1" xfId="0" applyNumberFormat="1" applyFont="1" applyFill="1" applyBorder="1" applyAlignment="1" applyProtection="1">
      <alignment vertical="center" shrinkToFit="1"/>
      <protection locked="0"/>
    </xf>
    <xf numFmtId="176" fontId="11" fillId="12" borderId="2" xfId="0" applyNumberFormat="1" applyFont="1" applyFill="1" applyBorder="1">
      <alignment vertical="center"/>
    </xf>
    <xf numFmtId="0" fontId="15" fillId="5" borderId="16" xfId="0" applyFont="1" applyFill="1" applyBorder="1">
      <alignment vertical="center"/>
    </xf>
    <xf numFmtId="178" fontId="0" fillId="0" borderId="0" xfId="0" applyNumberFormat="1">
      <alignment vertical="center"/>
    </xf>
    <xf numFmtId="0" fontId="15" fillId="9" borderId="0" xfId="0" applyFont="1" applyFill="1">
      <alignment vertical="center"/>
    </xf>
    <xf numFmtId="0" fontId="15" fillId="10" borderId="0" xfId="0" applyFont="1" applyFill="1">
      <alignment vertical="center"/>
    </xf>
    <xf numFmtId="0" fontId="15" fillId="13" borderId="0" xfId="0" applyFont="1" applyFill="1">
      <alignment vertical="center"/>
    </xf>
    <xf numFmtId="0" fontId="0" fillId="13" borderId="0" xfId="0" applyFill="1">
      <alignment vertical="center"/>
    </xf>
    <xf numFmtId="0" fontId="15" fillId="7" borderId="0" xfId="0" applyFont="1" applyFill="1">
      <alignment vertical="center"/>
    </xf>
    <xf numFmtId="176" fontId="15" fillId="0" borderId="37" xfId="0" applyNumberFormat="1" applyFont="1" applyBorder="1">
      <alignment vertical="center"/>
    </xf>
    <xf numFmtId="176" fontId="15" fillId="0" borderId="38" xfId="0" applyNumberFormat="1" applyFont="1" applyBorder="1">
      <alignment vertical="center"/>
    </xf>
    <xf numFmtId="176" fontId="15" fillId="0" borderId="40" xfId="0" applyNumberFormat="1" applyFont="1" applyBorder="1">
      <alignment vertical="center"/>
    </xf>
    <xf numFmtId="176" fontId="15" fillId="0" borderId="39" xfId="0" applyNumberFormat="1" applyFont="1" applyBorder="1">
      <alignment vertical="center"/>
    </xf>
    <xf numFmtId="176" fontId="15" fillId="0" borderId="41" xfId="0" applyNumberFormat="1" applyFont="1" applyBorder="1">
      <alignment vertical="center"/>
    </xf>
    <xf numFmtId="176" fontId="15" fillId="0" borderId="42" xfId="0" applyNumberFormat="1" applyFont="1" applyBorder="1">
      <alignment vertical="center"/>
    </xf>
    <xf numFmtId="176" fontId="15" fillId="0" borderId="43" xfId="0" applyNumberFormat="1" applyFont="1" applyBorder="1">
      <alignment vertical="center"/>
    </xf>
    <xf numFmtId="176" fontId="15" fillId="0" borderId="44" xfId="0" applyNumberFormat="1" applyFont="1" applyBorder="1">
      <alignment vertical="center"/>
    </xf>
    <xf numFmtId="0" fontId="15" fillId="14" borderId="0" xfId="0" applyFont="1" applyFill="1">
      <alignment vertical="center"/>
    </xf>
    <xf numFmtId="0" fontId="15" fillId="15" borderId="0" xfId="0" applyFont="1" applyFill="1">
      <alignment vertical="center"/>
    </xf>
    <xf numFmtId="176" fontId="29" fillId="6" borderId="35" xfId="0" applyNumberFormat="1" applyFont="1" applyFill="1" applyBorder="1" applyAlignment="1" applyProtection="1">
      <alignment horizontal="right" vertical="center"/>
      <protection hidden="1"/>
    </xf>
    <xf numFmtId="176" fontId="15" fillId="14" borderId="39" xfId="0" applyNumberFormat="1" applyFont="1" applyFill="1" applyBorder="1">
      <alignment vertical="center"/>
    </xf>
    <xf numFmtId="176" fontId="15" fillId="14" borderId="0" xfId="0" applyNumberFormat="1" applyFont="1" applyFill="1">
      <alignment vertical="center"/>
    </xf>
    <xf numFmtId="176" fontId="15" fillId="14" borderId="38" xfId="0" applyNumberFormat="1" applyFont="1" applyFill="1" applyBorder="1">
      <alignment vertical="center"/>
    </xf>
    <xf numFmtId="176" fontId="15" fillId="14" borderId="43" xfId="0" applyNumberFormat="1" applyFont="1" applyFill="1" applyBorder="1">
      <alignment vertical="center"/>
    </xf>
    <xf numFmtId="0" fontId="9" fillId="0" borderId="0" xfId="0" applyFont="1" applyProtection="1">
      <alignment vertical="center"/>
      <protection hidden="1"/>
    </xf>
    <xf numFmtId="176" fontId="15" fillId="14" borderId="41" xfId="0" applyNumberFormat="1" applyFont="1" applyFill="1" applyBorder="1">
      <alignment vertical="center"/>
    </xf>
    <xf numFmtId="176" fontId="15" fillId="14" borderId="37" xfId="0" applyNumberFormat="1" applyFont="1" applyFill="1" applyBorder="1">
      <alignment vertical="center"/>
    </xf>
    <xf numFmtId="0" fontId="9" fillId="8" borderId="0" xfId="0" applyFont="1" applyFill="1" applyProtection="1">
      <alignment vertical="center"/>
      <protection hidden="1"/>
    </xf>
    <xf numFmtId="0" fontId="12" fillId="10" borderId="47" xfId="0" applyFont="1" applyFill="1" applyBorder="1" applyAlignment="1" applyProtection="1">
      <alignment horizontal="center" vertical="center" wrapText="1"/>
      <protection hidden="1"/>
    </xf>
    <xf numFmtId="0" fontId="13" fillId="0" borderId="0" xfId="0" applyFont="1" applyProtection="1">
      <alignment vertical="center"/>
      <protection hidden="1"/>
    </xf>
    <xf numFmtId="0" fontId="15" fillId="0" borderId="0" xfId="0" applyFont="1" applyProtection="1">
      <alignment vertical="center"/>
      <protection hidden="1"/>
    </xf>
    <xf numFmtId="0" fontId="17" fillId="0" borderId="0" xfId="0" applyFont="1" applyAlignment="1" applyProtection="1">
      <alignment horizontal="center" vertical="center" textRotation="90"/>
      <protection hidden="1"/>
    </xf>
    <xf numFmtId="0" fontId="26" fillId="0" borderId="0" xfId="0" applyFont="1" applyAlignment="1" applyProtection="1">
      <alignment vertical="center" wrapText="1"/>
      <protection hidden="1"/>
    </xf>
    <xf numFmtId="0" fontId="14" fillId="0" borderId="0" xfId="0" applyFont="1" applyProtection="1">
      <alignment vertical="center"/>
      <protection hidden="1"/>
    </xf>
    <xf numFmtId="0" fontId="26" fillId="10" borderId="47" xfId="0" applyFont="1" applyFill="1" applyBorder="1" applyProtection="1">
      <alignment vertical="center"/>
      <protection hidden="1"/>
    </xf>
    <xf numFmtId="0" fontId="15" fillId="2" borderId="1" xfId="0" applyFont="1" applyFill="1" applyBorder="1" applyAlignment="1" applyProtection="1">
      <alignment horizontal="right" vertical="center"/>
      <protection hidden="1"/>
    </xf>
    <xf numFmtId="0" fontId="11" fillId="2" borderId="1" xfId="0" applyFont="1" applyFill="1" applyBorder="1" applyAlignment="1" applyProtection="1">
      <alignment horizontal="center" vertical="center" wrapText="1"/>
      <protection hidden="1"/>
    </xf>
    <xf numFmtId="0" fontId="11" fillId="0" borderId="0" xfId="0" applyFont="1" applyAlignment="1" applyProtection="1">
      <alignment horizontal="center" vertical="center" wrapText="1"/>
      <protection hidden="1"/>
    </xf>
    <xf numFmtId="0" fontId="11" fillId="0" borderId="0" xfId="0" applyFont="1" applyProtection="1">
      <alignment vertical="center"/>
      <protection hidden="1"/>
    </xf>
    <xf numFmtId="176" fontId="18" fillId="11" borderId="1" xfId="0" applyNumberFormat="1" applyFont="1" applyFill="1" applyBorder="1" applyProtection="1">
      <alignment vertical="center"/>
      <protection hidden="1"/>
    </xf>
    <xf numFmtId="176" fontId="11" fillId="11" borderId="1" xfId="0" applyNumberFormat="1" applyFont="1" applyFill="1" applyBorder="1" applyProtection="1">
      <alignment vertical="center"/>
      <protection hidden="1"/>
    </xf>
    <xf numFmtId="176" fontId="11" fillId="0" borderId="0" xfId="0" applyNumberFormat="1" applyFont="1" applyProtection="1">
      <alignment vertical="center"/>
      <protection hidden="1"/>
    </xf>
    <xf numFmtId="0" fontId="15" fillId="2" borderId="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textRotation="90"/>
      <protection hidden="1"/>
    </xf>
    <xf numFmtId="179" fontId="18" fillId="11" borderId="16" xfId="0" applyNumberFormat="1" applyFont="1" applyFill="1" applyBorder="1" applyProtection="1">
      <alignment vertical="center"/>
      <protection hidden="1"/>
    </xf>
    <xf numFmtId="177" fontId="18" fillId="11" borderId="16" xfId="0" applyNumberFormat="1" applyFont="1" applyFill="1" applyBorder="1" applyProtection="1">
      <alignment vertical="center"/>
      <protection hidden="1"/>
    </xf>
    <xf numFmtId="178" fontId="18" fillId="11" borderId="16" xfId="0" applyNumberFormat="1" applyFont="1" applyFill="1" applyBorder="1" applyProtection="1">
      <alignment vertical="center"/>
      <protection hidden="1"/>
    </xf>
    <xf numFmtId="0" fontId="11" fillId="11" borderId="16" xfId="0" applyFont="1" applyFill="1" applyBorder="1" applyProtection="1">
      <alignment vertical="center"/>
      <protection hidden="1"/>
    </xf>
    <xf numFmtId="179" fontId="18" fillId="11" borderId="14" xfId="0" applyNumberFormat="1" applyFont="1" applyFill="1" applyBorder="1" applyProtection="1">
      <alignment vertical="center"/>
      <protection hidden="1"/>
    </xf>
    <xf numFmtId="177" fontId="18" fillId="11" borderId="14" xfId="0" applyNumberFormat="1" applyFont="1" applyFill="1" applyBorder="1" applyProtection="1">
      <alignment vertical="center"/>
      <protection hidden="1"/>
    </xf>
    <xf numFmtId="178" fontId="18" fillId="11" borderId="14" xfId="0" applyNumberFormat="1" applyFont="1" applyFill="1" applyBorder="1" applyProtection="1">
      <alignment vertical="center"/>
      <protection hidden="1"/>
    </xf>
    <xf numFmtId="0" fontId="11" fillId="11" borderId="14" xfId="0" applyFont="1" applyFill="1" applyBorder="1" applyProtection="1">
      <alignment vertical="center"/>
      <protection hidden="1"/>
    </xf>
    <xf numFmtId="178" fontId="18" fillId="11" borderId="45" xfId="0" applyNumberFormat="1" applyFont="1" applyFill="1" applyBorder="1" applyProtection="1">
      <alignment vertical="center"/>
      <protection hidden="1"/>
    </xf>
    <xf numFmtId="179" fontId="18" fillId="11" borderId="12" xfId="0" applyNumberFormat="1" applyFont="1" applyFill="1" applyBorder="1" applyProtection="1">
      <alignment vertical="center"/>
      <protection hidden="1"/>
    </xf>
    <xf numFmtId="177" fontId="18" fillId="11" borderId="12" xfId="0" applyNumberFormat="1" applyFont="1" applyFill="1" applyBorder="1" applyProtection="1">
      <alignment vertical="center"/>
      <protection hidden="1"/>
    </xf>
    <xf numFmtId="178" fontId="18" fillId="11" borderId="15" xfId="0" applyNumberFormat="1" applyFont="1" applyFill="1" applyBorder="1" applyProtection="1">
      <alignment vertical="center"/>
      <protection hidden="1"/>
    </xf>
    <xf numFmtId="0" fontId="11" fillId="11" borderId="15" xfId="0" applyFont="1" applyFill="1" applyBorder="1" applyProtection="1">
      <alignment vertical="center"/>
      <protection hidden="1"/>
    </xf>
    <xf numFmtId="0" fontId="15" fillId="0" borderId="0" xfId="0" applyFont="1" applyAlignment="1" applyProtection="1">
      <alignment horizontal="center" vertical="center"/>
      <protection hidden="1"/>
    </xf>
    <xf numFmtId="0" fontId="11" fillId="2" borderId="1" xfId="0" applyFont="1" applyFill="1" applyBorder="1" applyAlignment="1" applyProtection="1">
      <alignment horizontal="center" vertical="center"/>
      <protection hidden="1"/>
    </xf>
    <xf numFmtId="178" fontId="11" fillId="11" borderId="27" xfId="0" applyNumberFormat="1" applyFont="1" applyFill="1" applyBorder="1" applyProtection="1">
      <alignment vertical="center"/>
      <protection hidden="1"/>
    </xf>
    <xf numFmtId="178" fontId="11" fillId="11" borderId="31" xfId="0" applyNumberFormat="1" applyFont="1" applyFill="1" applyBorder="1" applyProtection="1">
      <alignment vertical="center"/>
      <protection hidden="1"/>
    </xf>
    <xf numFmtId="178" fontId="11" fillId="0" borderId="0" xfId="0" applyNumberFormat="1" applyFont="1" applyProtection="1">
      <alignment vertical="center"/>
      <protection hidden="1"/>
    </xf>
    <xf numFmtId="177" fontId="11" fillId="0" borderId="0" xfId="0" applyNumberFormat="1" applyFont="1" applyProtection="1">
      <alignment vertical="center"/>
      <protection hidden="1"/>
    </xf>
    <xf numFmtId="178" fontId="11" fillId="11" borderId="6" xfId="0" applyNumberFormat="1" applyFont="1" applyFill="1" applyBorder="1" applyProtection="1">
      <alignment vertical="center"/>
      <protection hidden="1"/>
    </xf>
    <xf numFmtId="178" fontId="11" fillId="11" borderId="1" xfId="0" applyNumberFormat="1" applyFont="1" applyFill="1" applyBorder="1" applyProtection="1">
      <alignment vertical="center"/>
      <protection hidden="1"/>
    </xf>
    <xf numFmtId="178" fontId="29" fillId="11" borderId="35" xfId="0" applyNumberFormat="1" applyFont="1" applyFill="1" applyBorder="1" applyProtection="1">
      <alignment vertical="center"/>
      <protection hidden="1"/>
    </xf>
    <xf numFmtId="0" fontId="22" fillId="0" borderId="0" xfId="0" applyFont="1" applyProtection="1">
      <alignment vertical="center"/>
      <protection hidden="1"/>
    </xf>
    <xf numFmtId="0" fontId="23" fillId="0" borderId="0" xfId="0" applyFont="1" applyProtection="1">
      <alignment vertical="center"/>
      <protection hidden="1"/>
    </xf>
    <xf numFmtId="0" fontId="17" fillId="0" borderId="51" xfId="0" applyFont="1" applyBorder="1" applyAlignment="1" applyProtection="1">
      <alignment horizontal="center" vertical="center" textRotation="90"/>
      <protection hidden="1"/>
    </xf>
    <xf numFmtId="178" fontId="11" fillId="6" borderId="31" xfId="0" applyNumberFormat="1" applyFont="1" applyFill="1" applyBorder="1" applyProtection="1">
      <alignment vertical="center"/>
      <protection hidden="1"/>
    </xf>
    <xf numFmtId="178" fontId="11" fillId="6" borderId="16" xfId="0" applyNumberFormat="1" applyFont="1" applyFill="1" applyBorder="1" applyProtection="1">
      <alignment vertical="center"/>
      <protection hidden="1"/>
    </xf>
    <xf numFmtId="178" fontId="11" fillId="6" borderId="1" xfId="0" applyNumberFormat="1" applyFont="1" applyFill="1" applyBorder="1" applyProtection="1">
      <alignment vertical="center"/>
      <protection hidden="1"/>
    </xf>
    <xf numFmtId="0" fontId="15" fillId="0" borderId="0" xfId="0" applyFont="1" applyAlignment="1" applyProtection="1">
      <alignment horizontal="center" vertical="center" wrapText="1" shrinkToFit="1"/>
      <protection hidden="1"/>
    </xf>
    <xf numFmtId="178" fontId="29" fillId="6" borderId="35" xfId="0" applyNumberFormat="1" applyFont="1" applyFill="1" applyBorder="1" applyProtection="1">
      <alignment vertical="center"/>
      <protection hidden="1"/>
    </xf>
    <xf numFmtId="0" fontId="23" fillId="0" borderId="36" xfId="0" applyFont="1" applyBorder="1" applyProtection="1">
      <alignment vertical="center"/>
      <protection hidden="1"/>
    </xf>
    <xf numFmtId="0" fontId="15" fillId="0" borderId="0" xfId="0" applyFont="1" applyAlignment="1" applyProtection="1">
      <alignment horizontal="center" vertical="center" wrapText="1"/>
      <protection hidden="1"/>
    </xf>
    <xf numFmtId="177" fontId="11" fillId="2" borderId="1" xfId="0" applyNumberFormat="1" applyFont="1" applyFill="1" applyBorder="1" applyProtection="1">
      <alignment vertical="center"/>
      <protection hidden="1"/>
    </xf>
    <xf numFmtId="0" fontId="15" fillId="8" borderId="0" xfId="0" applyFont="1" applyFill="1" applyProtection="1">
      <alignment vertical="center"/>
      <protection hidden="1"/>
    </xf>
    <xf numFmtId="0" fontId="11" fillId="0" borderId="0" xfId="0" applyFont="1" applyAlignment="1" applyProtection="1">
      <alignment vertical="center" shrinkToFit="1"/>
      <protection hidden="1"/>
    </xf>
    <xf numFmtId="0" fontId="26" fillId="0" borderId="0" xfId="0" applyFont="1" applyProtection="1">
      <alignment vertical="center"/>
      <protection hidden="1"/>
    </xf>
    <xf numFmtId="0" fontId="22" fillId="0" borderId="0" xfId="0" applyFont="1" applyAlignment="1" applyProtection="1">
      <alignment vertical="top" wrapText="1"/>
      <protection hidden="1"/>
    </xf>
    <xf numFmtId="0" fontId="35" fillId="0" borderId="0" xfId="0" applyFont="1" applyAlignment="1" applyProtection="1">
      <alignment vertical="center" wrapText="1"/>
      <protection hidden="1"/>
    </xf>
    <xf numFmtId="0" fontId="14" fillId="0" borderId="0" xfId="0" applyFont="1" applyAlignment="1" applyProtection="1">
      <alignment horizontal="center" vertical="center"/>
      <protection hidden="1"/>
    </xf>
    <xf numFmtId="0" fontId="0" fillId="0" borderId="0" xfId="0" applyAlignment="1" applyProtection="1">
      <alignment horizontal="center" vertical="center"/>
      <protection hidden="1"/>
    </xf>
    <xf numFmtId="0" fontId="11" fillId="2" borderId="16" xfId="0" applyFont="1" applyFill="1" applyBorder="1" applyAlignment="1" applyProtection="1">
      <alignment horizontal="center" vertical="center"/>
      <protection hidden="1"/>
    </xf>
    <xf numFmtId="176" fontId="11" fillId="6" borderId="16" xfId="0" applyNumberFormat="1" applyFont="1" applyFill="1" applyBorder="1" applyAlignment="1" applyProtection="1">
      <alignment vertical="center" shrinkToFit="1"/>
      <protection hidden="1"/>
    </xf>
    <xf numFmtId="177" fontId="11" fillId="6" borderId="16" xfId="0" applyNumberFormat="1" applyFont="1" applyFill="1" applyBorder="1" applyAlignment="1" applyProtection="1">
      <alignment vertical="center" shrinkToFit="1"/>
      <protection hidden="1"/>
    </xf>
    <xf numFmtId="178" fontId="11" fillId="6" borderId="16" xfId="0" applyNumberFormat="1" applyFont="1" applyFill="1" applyBorder="1" applyAlignment="1" applyProtection="1">
      <alignment vertical="center" shrinkToFit="1"/>
      <protection hidden="1"/>
    </xf>
    <xf numFmtId="0" fontId="11" fillId="2" borderId="14" xfId="0" applyFont="1" applyFill="1" applyBorder="1" applyAlignment="1" applyProtection="1">
      <alignment horizontal="center" vertical="center"/>
      <protection hidden="1"/>
    </xf>
    <xf numFmtId="176" fontId="11" fillId="6" borderId="14" xfId="0" applyNumberFormat="1" applyFont="1" applyFill="1" applyBorder="1" applyAlignment="1" applyProtection="1">
      <alignment vertical="center" shrinkToFit="1"/>
      <protection hidden="1"/>
    </xf>
    <xf numFmtId="177" fontId="11" fillId="6" borderId="14" xfId="0" applyNumberFormat="1" applyFont="1" applyFill="1" applyBorder="1" applyAlignment="1" applyProtection="1">
      <alignment vertical="center" shrinkToFit="1"/>
      <protection hidden="1"/>
    </xf>
    <xf numFmtId="178" fontId="11" fillId="6" borderId="14" xfId="0" applyNumberFormat="1" applyFont="1" applyFill="1" applyBorder="1" applyAlignment="1" applyProtection="1">
      <alignment vertical="center" shrinkToFit="1"/>
      <protection hidden="1"/>
    </xf>
    <xf numFmtId="0" fontId="11" fillId="2" borderId="46" xfId="0" applyFont="1" applyFill="1" applyBorder="1" applyAlignment="1" applyProtection="1">
      <alignment horizontal="center" vertical="center"/>
      <protection hidden="1"/>
    </xf>
    <xf numFmtId="176" fontId="11" fillId="6" borderId="46" xfId="0" applyNumberFormat="1" applyFont="1" applyFill="1" applyBorder="1" applyAlignment="1" applyProtection="1">
      <alignment vertical="center" shrinkToFit="1"/>
      <protection hidden="1"/>
    </xf>
    <xf numFmtId="177" fontId="11" fillId="6" borderId="46" xfId="0" applyNumberFormat="1" applyFont="1" applyFill="1" applyBorder="1" applyAlignment="1" applyProtection="1">
      <alignment vertical="center" shrinkToFit="1"/>
      <protection hidden="1"/>
    </xf>
    <xf numFmtId="178" fontId="11" fillId="6" borderId="17" xfId="0" applyNumberFormat="1" applyFont="1" applyFill="1" applyBorder="1" applyAlignment="1" applyProtection="1">
      <alignment vertical="center" shrinkToFit="1"/>
      <protection hidden="1"/>
    </xf>
    <xf numFmtId="178" fontId="11" fillId="6" borderId="46" xfId="0" applyNumberFormat="1" applyFont="1" applyFill="1" applyBorder="1" applyAlignment="1" applyProtection="1">
      <alignment vertical="center" shrinkToFit="1"/>
      <protection hidden="1"/>
    </xf>
    <xf numFmtId="176" fontId="11" fillId="6" borderId="12" xfId="0" applyNumberFormat="1" applyFont="1" applyFill="1" applyBorder="1" applyAlignment="1" applyProtection="1">
      <alignment vertical="center" shrinkToFit="1"/>
      <protection hidden="1"/>
    </xf>
    <xf numFmtId="0" fontId="11" fillId="2" borderId="12" xfId="0" applyFont="1" applyFill="1" applyBorder="1" applyAlignment="1" applyProtection="1">
      <alignment horizontal="center" vertical="center" shrinkToFit="1"/>
      <protection hidden="1"/>
    </xf>
    <xf numFmtId="178" fontId="11" fillId="0" borderId="0" xfId="0" applyNumberFormat="1" applyFont="1" applyAlignment="1" applyProtection="1">
      <alignment vertical="center" shrinkToFit="1"/>
      <protection hidden="1"/>
    </xf>
    <xf numFmtId="178" fontId="11" fillId="6" borderId="12" xfId="0" applyNumberFormat="1" applyFont="1" applyFill="1" applyBorder="1" applyAlignment="1" applyProtection="1">
      <alignment vertical="center" shrinkToFit="1"/>
      <protection hidden="1"/>
    </xf>
    <xf numFmtId="176" fontId="15" fillId="0" borderId="0" xfId="0" applyNumberFormat="1" applyFont="1" applyProtection="1">
      <alignment vertical="center"/>
      <protection hidden="1"/>
    </xf>
    <xf numFmtId="0" fontId="26" fillId="0" borderId="0" xfId="0" applyFont="1" applyAlignment="1" applyProtection="1">
      <alignment horizontal="center" vertical="center"/>
      <protection hidden="1"/>
    </xf>
    <xf numFmtId="0" fontId="11" fillId="2" borderId="2" xfId="0" applyFont="1" applyFill="1" applyBorder="1" applyAlignment="1" applyProtection="1">
      <alignment vertical="center" shrinkToFit="1"/>
      <protection hidden="1"/>
    </xf>
    <xf numFmtId="0" fontId="11" fillId="2" borderId="24" xfId="0" applyFont="1" applyFill="1" applyBorder="1" applyProtection="1">
      <alignment vertical="center"/>
      <protection hidden="1"/>
    </xf>
    <xf numFmtId="176" fontId="11" fillId="6" borderId="1" xfId="0" applyNumberFormat="1" applyFont="1" applyFill="1" applyBorder="1" applyAlignment="1" applyProtection="1">
      <alignment vertical="center" shrinkToFit="1"/>
      <protection hidden="1"/>
    </xf>
    <xf numFmtId="177" fontId="11" fillId="6" borderId="1" xfId="0" applyNumberFormat="1" applyFont="1" applyFill="1" applyBorder="1" applyAlignment="1" applyProtection="1">
      <alignment vertical="center" shrinkToFit="1"/>
      <protection hidden="1"/>
    </xf>
    <xf numFmtId="178" fontId="11" fillId="6" borderId="1" xfId="0" applyNumberFormat="1" applyFont="1" applyFill="1" applyBorder="1" applyAlignment="1" applyProtection="1">
      <alignment vertical="center" shrinkToFit="1"/>
      <protection hidden="1"/>
    </xf>
    <xf numFmtId="0" fontId="11" fillId="2" borderId="13" xfId="0" applyFont="1" applyFill="1" applyBorder="1" applyAlignment="1" applyProtection="1">
      <alignment horizontal="center" vertical="center"/>
      <protection hidden="1"/>
    </xf>
    <xf numFmtId="176" fontId="11" fillId="6" borderId="13" xfId="0" applyNumberFormat="1" applyFont="1" applyFill="1" applyBorder="1" applyAlignment="1" applyProtection="1">
      <alignment vertical="center" shrinkToFit="1"/>
      <protection hidden="1"/>
    </xf>
    <xf numFmtId="177" fontId="11" fillId="6" borderId="13" xfId="0" applyNumberFormat="1" applyFont="1" applyFill="1" applyBorder="1" applyAlignment="1" applyProtection="1">
      <alignment vertical="center" shrinkToFit="1"/>
      <protection hidden="1"/>
    </xf>
    <xf numFmtId="178" fontId="11" fillId="6" borderId="13" xfId="0" applyNumberFormat="1" applyFont="1" applyFill="1" applyBorder="1" applyAlignment="1" applyProtection="1">
      <alignment vertical="center" shrinkToFit="1"/>
      <protection hidden="1"/>
    </xf>
    <xf numFmtId="0" fontId="11" fillId="0" borderId="0" xfId="0" applyFont="1" applyAlignment="1" applyProtection="1">
      <alignment vertical="center" wrapText="1"/>
      <protection hidden="1"/>
    </xf>
    <xf numFmtId="0" fontId="11" fillId="2" borderId="45" xfId="0" applyFont="1" applyFill="1" applyBorder="1" applyProtection="1">
      <alignment vertical="center"/>
      <protection hidden="1"/>
    </xf>
    <xf numFmtId="176" fontId="11" fillId="6" borderId="55" xfId="0" applyNumberFormat="1" applyFont="1" applyFill="1" applyBorder="1" applyAlignment="1" applyProtection="1">
      <alignment vertical="center" shrinkToFit="1"/>
      <protection hidden="1"/>
    </xf>
    <xf numFmtId="177" fontId="11" fillId="6" borderId="55" xfId="0" applyNumberFormat="1" applyFont="1" applyFill="1" applyBorder="1" applyAlignment="1" applyProtection="1">
      <alignment vertical="center" shrinkToFit="1"/>
      <protection hidden="1"/>
    </xf>
    <xf numFmtId="0" fontId="11" fillId="2" borderId="70" xfId="0" applyFont="1" applyFill="1" applyBorder="1" applyProtection="1">
      <alignment vertical="center"/>
      <protection hidden="1"/>
    </xf>
    <xf numFmtId="178" fontId="11" fillId="6" borderId="54" xfId="0" applyNumberFormat="1" applyFont="1" applyFill="1" applyBorder="1" applyAlignment="1" applyProtection="1">
      <alignment vertical="center" shrinkToFit="1"/>
      <protection hidden="1"/>
    </xf>
    <xf numFmtId="0" fontId="15" fillId="0" borderId="4" xfId="0" applyFont="1" applyBorder="1" applyProtection="1">
      <alignment vertical="center"/>
      <protection hidden="1"/>
    </xf>
    <xf numFmtId="176" fontId="11" fillId="6" borderId="15" xfId="0" applyNumberFormat="1" applyFont="1" applyFill="1" applyBorder="1" applyAlignment="1" applyProtection="1">
      <alignment vertical="center" shrinkToFit="1"/>
      <protection hidden="1"/>
    </xf>
    <xf numFmtId="0" fontId="11" fillId="2" borderId="15" xfId="0" applyFont="1" applyFill="1" applyBorder="1" applyAlignment="1" applyProtection="1">
      <alignment horizontal="center" vertical="center" shrinkToFit="1"/>
      <protection hidden="1"/>
    </xf>
    <xf numFmtId="176" fontId="15" fillId="2" borderId="1" xfId="0" applyNumberFormat="1" applyFont="1" applyFill="1" applyBorder="1" applyAlignment="1" applyProtection="1">
      <alignment horizontal="center" vertical="center" wrapText="1"/>
      <protection hidden="1"/>
    </xf>
    <xf numFmtId="0" fontId="24" fillId="2" borderId="1" xfId="0" applyFont="1" applyFill="1" applyBorder="1" applyAlignment="1" applyProtection="1">
      <alignment horizontal="center" vertical="center" wrapText="1"/>
      <protection hidden="1"/>
    </xf>
    <xf numFmtId="177" fontId="11" fillId="6" borderId="54" xfId="0" applyNumberFormat="1" applyFont="1" applyFill="1" applyBorder="1" applyAlignment="1" applyProtection="1">
      <alignment vertical="center" shrinkToFit="1"/>
      <protection hidden="1"/>
    </xf>
    <xf numFmtId="176" fontId="11" fillId="6" borderId="54" xfId="0" applyNumberFormat="1" applyFont="1" applyFill="1" applyBorder="1" applyAlignment="1" applyProtection="1">
      <alignment vertical="center" shrinkToFit="1"/>
      <protection hidden="1"/>
    </xf>
    <xf numFmtId="0" fontId="26" fillId="0" borderId="76" xfId="0" applyFont="1" applyBorder="1" applyAlignment="1" applyProtection="1">
      <alignment vertical="top" wrapText="1"/>
      <protection hidden="1"/>
    </xf>
    <xf numFmtId="0" fontId="30" fillId="0" borderId="0" xfId="0" applyFont="1" applyProtection="1">
      <alignment vertical="center"/>
      <protection hidden="1"/>
    </xf>
    <xf numFmtId="0" fontId="0" fillId="0" borderId="75" xfId="0" applyBorder="1" applyAlignment="1" applyProtection="1">
      <alignment horizontal="center" vertical="center"/>
      <protection hidden="1"/>
    </xf>
    <xf numFmtId="177" fontId="11" fillId="6" borderId="25" xfId="0" applyNumberFormat="1" applyFont="1" applyFill="1" applyBorder="1" applyAlignment="1" applyProtection="1">
      <alignment vertical="center" shrinkToFit="1"/>
      <protection hidden="1"/>
    </xf>
    <xf numFmtId="176" fontId="11" fillId="6" borderId="25" xfId="0" applyNumberFormat="1" applyFont="1" applyFill="1" applyBorder="1" applyAlignment="1" applyProtection="1">
      <alignment vertical="center" shrinkToFit="1"/>
      <protection hidden="1"/>
    </xf>
    <xf numFmtId="0" fontId="26" fillId="0" borderId="0" xfId="0" applyFont="1" applyAlignment="1" applyProtection="1">
      <alignment vertical="top" wrapText="1"/>
      <protection hidden="1"/>
    </xf>
    <xf numFmtId="0" fontId="15" fillId="0" borderId="6" xfId="0" applyFont="1" applyBorder="1" applyProtection="1">
      <alignment vertical="center"/>
      <protection hidden="1"/>
    </xf>
    <xf numFmtId="0" fontId="21" fillId="2" borderId="16" xfId="0" applyFont="1" applyFill="1" applyBorder="1" applyAlignment="1" applyProtection="1">
      <alignment horizontal="center" vertical="center"/>
      <protection hidden="1"/>
    </xf>
    <xf numFmtId="0" fontId="21" fillId="2" borderId="14" xfId="0" applyFont="1" applyFill="1" applyBorder="1" applyAlignment="1" applyProtection="1">
      <alignment horizontal="center" vertical="center"/>
      <protection hidden="1"/>
    </xf>
    <xf numFmtId="0" fontId="21" fillId="2" borderId="17" xfId="0" applyFont="1" applyFill="1" applyBorder="1" applyAlignment="1" applyProtection="1">
      <alignment horizontal="center" vertical="center"/>
      <protection hidden="1"/>
    </xf>
    <xf numFmtId="176" fontId="11" fillId="6" borderId="17" xfId="0" applyNumberFormat="1" applyFont="1" applyFill="1" applyBorder="1" applyAlignment="1" applyProtection="1">
      <alignment vertical="center" shrinkToFit="1"/>
      <protection hidden="1"/>
    </xf>
    <xf numFmtId="177" fontId="11" fillId="6" borderId="17" xfId="0" applyNumberFormat="1" applyFont="1" applyFill="1" applyBorder="1" applyAlignment="1" applyProtection="1">
      <alignment vertical="center" shrinkToFit="1"/>
      <protection hidden="1"/>
    </xf>
    <xf numFmtId="0" fontId="37" fillId="2" borderId="13" xfId="0" applyFont="1" applyFill="1" applyBorder="1" applyAlignment="1" applyProtection="1">
      <alignment horizontal="center" vertical="center"/>
      <protection hidden="1"/>
    </xf>
    <xf numFmtId="0" fontId="37" fillId="2" borderId="14" xfId="0" applyFont="1" applyFill="1" applyBorder="1" applyAlignment="1" applyProtection="1">
      <alignment horizontal="center" vertical="center"/>
      <protection hidden="1"/>
    </xf>
    <xf numFmtId="0" fontId="37" fillId="2" borderId="15" xfId="0" applyFont="1" applyFill="1" applyBorder="1" applyAlignment="1" applyProtection="1">
      <alignment horizontal="center" vertical="center"/>
      <protection hidden="1"/>
    </xf>
    <xf numFmtId="0" fontId="11" fillId="2" borderId="13" xfId="0" applyFont="1" applyFill="1" applyBorder="1" applyProtection="1">
      <alignment vertical="center"/>
      <protection hidden="1"/>
    </xf>
    <xf numFmtId="0" fontId="11" fillId="2" borderId="46" xfId="0" applyFont="1" applyFill="1" applyBorder="1" applyProtection="1">
      <alignment vertical="center"/>
      <protection hidden="1"/>
    </xf>
    <xf numFmtId="0" fontId="11" fillId="2" borderId="16" xfId="0" applyFont="1" applyFill="1" applyBorder="1" applyProtection="1">
      <alignment vertical="center"/>
      <protection hidden="1"/>
    </xf>
    <xf numFmtId="176" fontId="11" fillId="7" borderId="16" xfId="0" applyNumberFormat="1" applyFont="1" applyFill="1" applyBorder="1" applyAlignment="1" applyProtection="1">
      <alignment vertical="center" shrinkToFit="1"/>
      <protection hidden="1"/>
    </xf>
    <xf numFmtId="177" fontId="11" fillId="7" borderId="16" xfId="0" applyNumberFormat="1" applyFont="1" applyFill="1" applyBorder="1" applyAlignment="1" applyProtection="1">
      <alignment vertical="center" shrinkToFit="1"/>
      <protection hidden="1"/>
    </xf>
    <xf numFmtId="178" fontId="11" fillId="7" borderId="16" xfId="0" applyNumberFormat="1" applyFont="1" applyFill="1" applyBorder="1" applyAlignment="1" applyProtection="1">
      <alignment vertical="center" shrinkToFit="1"/>
      <protection hidden="1"/>
    </xf>
    <xf numFmtId="0" fontId="11" fillId="2" borderId="14" xfId="0" applyFont="1" applyFill="1" applyBorder="1" applyProtection="1">
      <alignment vertical="center"/>
      <protection hidden="1"/>
    </xf>
    <xf numFmtId="176" fontId="11" fillId="7" borderId="14" xfId="0" applyNumberFormat="1" applyFont="1" applyFill="1" applyBorder="1" applyAlignment="1" applyProtection="1">
      <alignment vertical="center" shrinkToFit="1"/>
      <protection hidden="1"/>
    </xf>
    <xf numFmtId="177" fontId="11" fillId="7" borderId="14" xfId="0" applyNumberFormat="1" applyFont="1" applyFill="1" applyBorder="1" applyAlignment="1" applyProtection="1">
      <alignment vertical="center" shrinkToFit="1"/>
      <protection hidden="1"/>
    </xf>
    <xf numFmtId="178" fontId="11" fillId="7" borderId="14" xfId="0" applyNumberFormat="1" applyFont="1" applyFill="1" applyBorder="1" applyAlignment="1" applyProtection="1">
      <alignment vertical="center" shrinkToFit="1"/>
      <protection hidden="1"/>
    </xf>
    <xf numFmtId="0" fontId="11" fillId="2" borderId="14" xfId="0" applyFont="1" applyFill="1" applyBorder="1" applyAlignment="1" applyProtection="1">
      <alignment vertical="center" wrapText="1"/>
      <protection hidden="1"/>
    </xf>
    <xf numFmtId="176" fontId="11" fillId="7" borderId="46" xfId="0" applyNumberFormat="1" applyFont="1" applyFill="1" applyBorder="1" applyAlignment="1" applyProtection="1">
      <alignment vertical="center" shrinkToFit="1"/>
      <protection hidden="1"/>
    </xf>
    <xf numFmtId="177" fontId="11" fillId="7" borderId="46" xfId="0" applyNumberFormat="1" applyFont="1" applyFill="1" applyBorder="1" applyAlignment="1" applyProtection="1">
      <alignment vertical="center" shrinkToFit="1"/>
      <protection hidden="1"/>
    </xf>
    <xf numFmtId="178" fontId="11" fillId="7" borderId="46" xfId="0" applyNumberFormat="1" applyFont="1" applyFill="1" applyBorder="1" applyAlignment="1" applyProtection="1">
      <alignment vertical="center" shrinkToFit="1"/>
      <protection hidden="1"/>
    </xf>
    <xf numFmtId="176" fontId="11" fillId="7" borderId="12" xfId="0" applyNumberFormat="1" applyFont="1" applyFill="1" applyBorder="1" applyAlignment="1" applyProtection="1">
      <alignment vertical="center" shrinkToFit="1"/>
      <protection hidden="1"/>
    </xf>
    <xf numFmtId="178" fontId="11" fillId="7" borderId="12" xfId="0" applyNumberFormat="1" applyFont="1" applyFill="1" applyBorder="1" applyAlignment="1" applyProtection="1">
      <alignment vertical="center" shrinkToFit="1"/>
      <protection hidden="1"/>
    </xf>
    <xf numFmtId="0" fontId="11" fillId="2" borderId="1" xfId="0" applyFont="1" applyFill="1" applyBorder="1" applyAlignment="1" applyProtection="1">
      <alignment vertical="center" shrinkToFit="1"/>
      <protection hidden="1"/>
    </xf>
    <xf numFmtId="178" fontId="25" fillId="6" borderId="12" xfId="0" applyNumberFormat="1" applyFont="1" applyFill="1" applyBorder="1" applyAlignment="1" applyProtection="1">
      <alignment vertical="center" shrinkToFit="1"/>
      <protection hidden="1"/>
    </xf>
    <xf numFmtId="0" fontId="1" fillId="0" borderId="0" xfId="0" applyFont="1" applyProtection="1">
      <alignment vertical="center"/>
      <protection hidden="1"/>
    </xf>
    <xf numFmtId="0" fontId="11" fillId="2" borderId="25" xfId="0" applyFont="1" applyFill="1" applyBorder="1" applyAlignment="1" applyProtection="1">
      <alignment vertical="center" shrinkToFit="1"/>
      <protection hidden="1"/>
    </xf>
    <xf numFmtId="178" fontId="11" fillId="6" borderId="25" xfId="0" applyNumberFormat="1" applyFont="1" applyFill="1" applyBorder="1" applyAlignment="1" applyProtection="1">
      <alignment vertical="center" shrinkToFit="1"/>
      <protection hidden="1"/>
    </xf>
    <xf numFmtId="0" fontId="11" fillId="2" borderId="74" xfId="0" applyFont="1" applyFill="1" applyBorder="1" applyAlignment="1" applyProtection="1">
      <alignment vertical="center" shrinkToFit="1"/>
      <protection hidden="1"/>
    </xf>
    <xf numFmtId="0" fontId="11" fillId="2" borderId="0" xfId="0" applyFont="1" applyFill="1" applyAlignment="1" applyProtection="1">
      <alignment vertical="center" shrinkToFit="1"/>
      <protection hidden="1"/>
    </xf>
    <xf numFmtId="178" fontId="11" fillId="6" borderId="15" xfId="0" applyNumberFormat="1" applyFont="1" applyFill="1" applyBorder="1" applyAlignment="1" applyProtection="1">
      <alignment vertical="center" shrinkToFit="1"/>
      <protection hidden="1"/>
    </xf>
    <xf numFmtId="0" fontId="0" fillId="0" borderId="0" xfId="0" applyProtection="1">
      <alignment vertical="center"/>
      <protection hidden="1"/>
    </xf>
    <xf numFmtId="0" fontId="15" fillId="0" borderId="8" xfId="0" applyFont="1" applyBorder="1">
      <alignment vertical="center"/>
    </xf>
    <xf numFmtId="0" fontId="15" fillId="0" borderId="0" xfId="0" applyFont="1">
      <alignment vertical="center"/>
    </xf>
    <xf numFmtId="0" fontId="15" fillId="0" borderId="41" xfId="0" applyFont="1" applyBorder="1">
      <alignment vertical="center"/>
    </xf>
    <xf numFmtId="0" fontId="44" fillId="0" borderId="32" xfId="0" applyFont="1" applyBorder="1" applyAlignment="1">
      <alignment vertical="center" wrapText="1"/>
    </xf>
    <xf numFmtId="0" fontId="44" fillId="0" borderId="33" xfId="0" applyFont="1" applyBorder="1" applyAlignment="1">
      <alignment vertical="center" wrapText="1"/>
    </xf>
    <xf numFmtId="0" fontId="44" fillId="0" borderId="34" xfId="0" applyFont="1" applyBorder="1" applyAlignment="1">
      <alignment vertical="center" wrapText="1"/>
    </xf>
    <xf numFmtId="0" fontId="15" fillId="0" borderId="32" xfId="0" applyFont="1" applyBorder="1" applyAlignment="1">
      <alignment vertical="center" wrapText="1"/>
    </xf>
    <xf numFmtId="0" fontId="15" fillId="0" borderId="33" xfId="0" applyFont="1" applyBorder="1">
      <alignment vertical="center"/>
    </xf>
    <xf numFmtId="0" fontId="15" fillId="0" borderId="34" xfId="0" applyFont="1" applyBorder="1">
      <alignment vertical="center"/>
    </xf>
    <xf numFmtId="0" fontId="15" fillId="0" borderId="37" xfId="0" applyFont="1" applyBorder="1" applyAlignment="1">
      <alignment vertical="center" wrapText="1" shrinkToFit="1"/>
    </xf>
    <xf numFmtId="0" fontId="15" fillId="0" borderId="38" xfId="0" applyFont="1" applyBorder="1" applyAlignment="1">
      <alignment vertical="center" wrapText="1" shrinkToFit="1"/>
    </xf>
    <xf numFmtId="0" fontId="15" fillId="0" borderId="40" xfId="0" applyFont="1" applyBorder="1" applyAlignment="1">
      <alignment vertical="center" wrapText="1" shrinkToFit="1"/>
    </xf>
    <xf numFmtId="0" fontId="15" fillId="0" borderId="0" xfId="0" applyFont="1" applyAlignment="1">
      <alignment vertical="center" wrapText="1"/>
    </xf>
    <xf numFmtId="0" fontId="15" fillId="0" borderId="41" xfId="0" applyFont="1" applyBorder="1" applyAlignment="1">
      <alignment vertical="center" wrapText="1"/>
    </xf>
    <xf numFmtId="0" fontId="15" fillId="0" borderId="43" xfId="0" applyFont="1" applyBorder="1" applyAlignment="1">
      <alignment vertical="center" wrapText="1"/>
    </xf>
    <xf numFmtId="0" fontId="15" fillId="0" borderId="44" xfId="0" applyFont="1" applyBorder="1" applyAlignment="1">
      <alignment vertical="center" wrapText="1"/>
    </xf>
    <xf numFmtId="0" fontId="15" fillId="0" borderId="33" xfId="0" applyFont="1" applyBorder="1" applyAlignment="1">
      <alignment vertical="center" wrapText="1"/>
    </xf>
    <xf numFmtId="0" fontId="15" fillId="0" borderId="34" xfId="0" applyFont="1" applyBorder="1" applyAlignment="1">
      <alignment vertical="center" wrapText="1"/>
    </xf>
    <xf numFmtId="0" fontId="23" fillId="0" borderId="32" xfId="0" applyFont="1" applyBorder="1" applyAlignment="1">
      <alignment vertical="center" wrapText="1"/>
    </xf>
    <xf numFmtId="0" fontId="23" fillId="0" borderId="33" xfId="0" applyFont="1" applyBorder="1" applyAlignment="1">
      <alignment vertical="center" wrapText="1"/>
    </xf>
    <xf numFmtId="0" fontId="23" fillId="0" borderId="34" xfId="0" applyFont="1" applyBorder="1" applyAlignment="1">
      <alignment vertical="center" wrapText="1"/>
    </xf>
    <xf numFmtId="0" fontId="14" fillId="0" borderId="32" xfId="0" applyFont="1" applyBorder="1" applyAlignment="1">
      <alignment vertical="center" wrapText="1"/>
    </xf>
    <xf numFmtId="0" fontId="14" fillId="0" borderId="33" xfId="0" applyFont="1" applyBorder="1" applyAlignment="1">
      <alignment vertical="center" wrapText="1"/>
    </xf>
    <xf numFmtId="0" fontId="14" fillId="0" borderId="34" xfId="0" applyFont="1" applyBorder="1" applyAlignment="1">
      <alignment vertical="center" wrapText="1"/>
    </xf>
    <xf numFmtId="0" fontId="9" fillId="8" borderId="0" xfId="0" applyFont="1" applyFill="1">
      <alignment vertical="center"/>
    </xf>
    <xf numFmtId="0" fontId="19" fillId="8" borderId="0" xfId="0" applyFont="1" applyFill="1" applyAlignment="1">
      <alignment horizontal="right" vertical="center"/>
    </xf>
    <xf numFmtId="0" fontId="14" fillId="0" borderId="0" xfId="0" applyFont="1" applyAlignment="1">
      <alignment vertical="center" wrapText="1"/>
    </xf>
    <xf numFmtId="0" fontId="15" fillId="2" borderId="7" xfId="0" applyFont="1" applyFill="1" applyBorder="1" applyAlignment="1" applyProtection="1">
      <alignment horizontal="left" vertical="center"/>
      <protection hidden="1"/>
    </xf>
    <xf numFmtId="0" fontId="15" fillId="2" borderId="5" xfId="0" applyFont="1" applyFill="1" applyBorder="1" applyAlignment="1" applyProtection="1">
      <alignment horizontal="left" vertical="center"/>
      <protection hidden="1"/>
    </xf>
    <xf numFmtId="0" fontId="15" fillId="2" borderId="4" xfId="0" applyFont="1" applyFill="1" applyBorder="1" applyAlignment="1" applyProtection="1">
      <alignment horizontal="left" vertical="center"/>
      <protection hidden="1"/>
    </xf>
    <xf numFmtId="0" fontId="15" fillId="2" borderId="1" xfId="0" applyFont="1" applyFill="1" applyBorder="1" applyAlignment="1" applyProtection="1">
      <alignment horizontal="left" vertical="center"/>
      <protection hidden="1"/>
    </xf>
    <xf numFmtId="0" fontId="15" fillId="9" borderId="1" xfId="0" applyFont="1" applyFill="1" applyBorder="1" applyProtection="1">
      <alignment vertical="center"/>
      <protection locked="0"/>
    </xf>
    <xf numFmtId="0" fontId="15" fillId="2" borderId="2" xfId="0" applyFont="1" applyFill="1" applyBorder="1" applyAlignment="1" applyProtection="1">
      <alignment horizontal="left" vertical="center"/>
      <protection hidden="1"/>
    </xf>
    <xf numFmtId="0" fontId="11" fillId="2" borderId="1" xfId="0" applyFont="1" applyFill="1" applyBorder="1" applyAlignment="1" applyProtection="1">
      <alignment horizontal="center" vertical="center" wrapText="1" shrinkToFit="1"/>
      <protection hidden="1"/>
    </xf>
    <xf numFmtId="0" fontId="11" fillId="2" borderId="2" xfId="0" applyFont="1" applyFill="1" applyBorder="1" applyAlignment="1" applyProtection="1">
      <alignment horizontal="center" vertical="center" wrapText="1" shrinkToFit="1"/>
      <protection hidden="1"/>
    </xf>
    <xf numFmtId="0" fontId="15" fillId="3" borderId="2" xfId="0" applyFont="1" applyFill="1" applyBorder="1" applyAlignment="1" applyProtection="1">
      <alignment vertical="center" shrinkToFit="1"/>
      <protection locked="0"/>
    </xf>
    <xf numFmtId="0" fontId="15" fillId="3" borderId="3" xfId="0" applyFont="1" applyFill="1" applyBorder="1" applyAlignment="1" applyProtection="1">
      <alignment vertical="center" shrinkToFit="1"/>
      <protection locked="0"/>
    </xf>
    <xf numFmtId="0" fontId="15" fillId="3" borderId="4" xfId="0" applyFont="1" applyFill="1" applyBorder="1" applyAlignment="1" applyProtection="1">
      <alignment vertical="center" shrinkToFit="1"/>
      <protection locked="0"/>
    </xf>
    <xf numFmtId="0" fontId="15" fillId="2" borderId="2" xfId="0" applyFont="1" applyFill="1" applyBorder="1" applyAlignment="1" applyProtection="1">
      <alignment horizontal="center" vertical="center"/>
      <protection hidden="1"/>
    </xf>
    <xf numFmtId="0" fontId="15" fillId="2" borderId="3" xfId="0" applyFont="1" applyFill="1" applyBorder="1" applyAlignment="1" applyProtection="1">
      <alignment horizontal="center" vertical="center"/>
      <protection hidden="1"/>
    </xf>
    <xf numFmtId="0" fontId="15" fillId="2" borderId="4" xfId="0" applyFont="1" applyFill="1" applyBorder="1" applyAlignment="1" applyProtection="1">
      <alignment horizontal="center" vertical="center"/>
      <protection hidden="1"/>
    </xf>
    <xf numFmtId="0" fontId="11" fillId="3" borderId="7" xfId="0" applyFont="1" applyFill="1" applyBorder="1" applyAlignment="1" applyProtection="1">
      <alignment vertical="center" shrinkToFit="1"/>
      <protection locked="0"/>
    </xf>
    <xf numFmtId="0" fontId="11" fillId="3" borderId="5" xfId="0" applyFont="1" applyFill="1" applyBorder="1" applyAlignment="1" applyProtection="1">
      <alignment vertical="center" shrinkToFit="1"/>
      <protection locked="0"/>
    </xf>
    <xf numFmtId="0" fontId="11" fillId="3" borderId="6" xfId="0" applyFont="1" applyFill="1" applyBorder="1" applyAlignment="1" applyProtection="1">
      <alignment vertical="center" shrinkToFit="1"/>
      <protection locked="0"/>
    </xf>
    <xf numFmtId="0" fontId="11" fillId="3" borderId="21" xfId="0" applyFont="1" applyFill="1" applyBorder="1" applyAlignment="1" applyProtection="1">
      <alignment vertical="center" shrinkToFit="1"/>
      <protection locked="0"/>
    </xf>
    <xf numFmtId="0" fontId="11" fillId="3" borderId="22" xfId="0" applyFont="1" applyFill="1" applyBorder="1" applyAlignment="1" applyProtection="1">
      <alignment vertical="center" shrinkToFit="1"/>
      <protection locked="0"/>
    </xf>
    <xf numFmtId="0" fontId="11" fillId="3" borderId="23" xfId="0" applyFont="1" applyFill="1" applyBorder="1" applyAlignment="1" applyProtection="1">
      <alignment vertical="center" shrinkToFit="1"/>
      <protection locked="0"/>
    </xf>
    <xf numFmtId="0" fontId="11" fillId="3" borderId="9" xfId="0" applyFont="1" applyFill="1" applyBorder="1" applyAlignment="1" applyProtection="1">
      <alignment vertical="center" shrinkToFit="1"/>
      <protection locked="0"/>
    </xf>
    <xf numFmtId="0" fontId="11" fillId="3" borderId="10" xfId="0" applyFont="1" applyFill="1" applyBorder="1" applyAlignment="1" applyProtection="1">
      <alignment vertical="center" shrinkToFit="1"/>
      <protection locked="0"/>
    </xf>
    <xf numFmtId="0" fontId="11" fillId="3" borderId="11" xfId="0" applyFont="1" applyFill="1" applyBorder="1" applyAlignment="1" applyProtection="1">
      <alignment vertical="center" shrinkToFit="1"/>
      <protection locked="0"/>
    </xf>
    <xf numFmtId="0" fontId="11" fillId="2" borderId="1" xfId="0" applyFont="1" applyFill="1" applyBorder="1" applyAlignment="1" applyProtection="1">
      <alignment horizontal="center" vertical="center"/>
      <protection hidden="1"/>
    </xf>
    <xf numFmtId="0" fontId="15" fillId="2" borderId="3" xfId="0" applyFont="1" applyFill="1" applyBorder="1" applyAlignment="1" applyProtection="1">
      <alignment horizontal="left" vertical="center"/>
      <protection hidden="1"/>
    </xf>
    <xf numFmtId="0" fontId="26" fillId="10" borderId="48" xfId="0" applyFont="1" applyFill="1" applyBorder="1" applyAlignment="1" applyProtection="1">
      <alignment vertical="center" wrapText="1"/>
      <protection hidden="1"/>
    </xf>
    <xf numFmtId="0" fontId="26" fillId="10" borderId="50" xfId="0" applyFont="1" applyFill="1" applyBorder="1" applyAlignment="1" applyProtection="1">
      <alignment vertical="center" wrapText="1"/>
      <protection hidden="1"/>
    </xf>
    <xf numFmtId="0" fontId="26" fillId="10" borderId="49" xfId="0" applyFont="1" applyFill="1" applyBorder="1" applyAlignment="1" applyProtection="1">
      <alignment vertical="center" wrapText="1"/>
      <protection hidden="1"/>
    </xf>
    <xf numFmtId="0" fontId="17" fillId="0" borderId="0" xfId="0" applyFont="1" applyAlignment="1" applyProtection="1">
      <alignment horizontal="center" vertical="center" textRotation="90"/>
      <protection hidden="1"/>
    </xf>
    <xf numFmtId="0" fontId="17" fillId="0" borderId="51" xfId="0" applyFont="1" applyBorder="1" applyAlignment="1" applyProtection="1">
      <alignment horizontal="center" vertical="center" textRotation="90"/>
      <protection hidden="1"/>
    </xf>
    <xf numFmtId="0" fontId="35" fillId="10" borderId="48" xfId="0" applyFont="1" applyFill="1" applyBorder="1" applyAlignment="1" applyProtection="1">
      <alignment vertical="center" wrapText="1"/>
      <protection hidden="1"/>
    </xf>
    <xf numFmtId="0" fontId="35" fillId="10" borderId="50" xfId="0" applyFont="1" applyFill="1" applyBorder="1" applyAlignment="1" applyProtection="1">
      <alignment vertical="center" wrapText="1"/>
      <protection hidden="1"/>
    </xf>
    <xf numFmtId="0" fontId="35" fillId="10" borderId="49" xfId="0" applyFont="1" applyFill="1" applyBorder="1" applyAlignment="1" applyProtection="1">
      <alignment vertical="center" wrapText="1"/>
      <protection hidden="1"/>
    </xf>
    <xf numFmtId="0" fontId="11" fillId="2" borderId="2" xfId="0" applyFont="1" applyFill="1" applyBorder="1" applyAlignment="1" applyProtection="1">
      <alignment horizontal="center" vertical="center"/>
      <protection hidden="1"/>
    </xf>
    <xf numFmtId="0" fontId="11" fillId="2" borderId="3" xfId="0" applyFont="1" applyFill="1" applyBorder="1" applyAlignment="1" applyProtection="1">
      <alignment horizontal="center" vertical="center"/>
      <protection hidden="1"/>
    </xf>
    <xf numFmtId="0" fontId="11" fillId="2" borderId="4" xfId="0" applyFont="1" applyFill="1" applyBorder="1" applyAlignment="1" applyProtection="1">
      <alignment horizontal="center" vertical="center"/>
      <protection hidden="1"/>
    </xf>
    <xf numFmtId="0" fontId="9" fillId="8" borderId="0" xfId="0" applyFont="1" applyFill="1" applyProtection="1">
      <alignment vertical="center"/>
      <protection hidden="1"/>
    </xf>
    <xf numFmtId="0" fontId="15" fillId="2" borderId="2" xfId="0" applyFont="1" applyFill="1" applyBorder="1" applyProtection="1">
      <alignment vertical="center"/>
      <protection hidden="1"/>
    </xf>
    <xf numFmtId="0" fontId="15" fillId="2" borderId="3" xfId="0" applyFont="1" applyFill="1" applyBorder="1" applyProtection="1">
      <alignment vertical="center"/>
      <protection hidden="1"/>
    </xf>
    <xf numFmtId="0" fontId="15" fillId="2" borderId="4" xfId="0" applyFont="1" applyFill="1" applyBorder="1" applyProtection="1">
      <alignment vertical="center"/>
      <protection hidden="1"/>
    </xf>
    <xf numFmtId="0" fontId="18" fillId="11" borderId="21" xfId="0" applyFont="1" applyFill="1" applyBorder="1" applyAlignment="1" applyProtection="1">
      <alignment vertical="center" shrinkToFit="1"/>
      <protection hidden="1"/>
    </xf>
    <xf numFmtId="0" fontId="18" fillId="11" borderId="22" xfId="0" applyFont="1" applyFill="1" applyBorder="1" applyAlignment="1" applyProtection="1">
      <alignment vertical="center" shrinkToFit="1"/>
      <protection hidden="1"/>
    </xf>
    <xf numFmtId="0" fontId="18" fillId="11" borderId="23" xfId="0" applyFont="1" applyFill="1" applyBorder="1" applyAlignment="1" applyProtection="1">
      <alignment vertical="center" shrinkToFit="1"/>
      <protection hidden="1"/>
    </xf>
    <xf numFmtId="0" fontId="10" fillId="8" borderId="0" xfId="0" applyFont="1" applyFill="1" applyAlignment="1" applyProtection="1">
      <alignment horizontal="right" vertical="center"/>
      <protection hidden="1"/>
    </xf>
    <xf numFmtId="0" fontId="15" fillId="0" borderId="0" xfId="0" applyFont="1" applyProtection="1">
      <alignment vertical="center"/>
      <protection hidden="1"/>
    </xf>
    <xf numFmtId="0" fontId="26" fillId="10" borderId="48" xfId="0" applyFont="1" applyFill="1" applyBorder="1" applyAlignment="1" applyProtection="1">
      <alignment horizontal="left" vertical="center" wrapText="1"/>
      <protection hidden="1"/>
    </xf>
    <xf numFmtId="0" fontId="26" fillId="10" borderId="49" xfId="0" applyFont="1" applyFill="1" applyBorder="1" applyAlignment="1" applyProtection="1">
      <alignment horizontal="left" vertical="center" wrapText="1"/>
      <protection hidden="1"/>
    </xf>
    <xf numFmtId="0" fontId="11" fillId="2" borderId="7" xfId="0" applyFont="1" applyFill="1" applyBorder="1" applyAlignment="1" applyProtection="1">
      <alignment vertical="center" wrapText="1"/>
      <protection hidden="1"/>
    </xf>
    <xf numFmtId="0" fontId="11" fillId="2" borderId="5" xfId="0" applyFont="1" applyFill="1" applyBorder="1" applyAlignment="1" applyProtection="1">
      <alignment vertical="center" wrapText="1"/>
      <protection hidden="1"/>
    </xf>
    <xf numFmtId="0" fontId="11" fillId="2" borderId="6" xfId="0" applyFont="1" applyFill="1" applyBorder="1" applyAlignment="1" applyProtection="1">
      <alignment vertical="center" wrapText="1"/>
      <protection hidden="1"/>
    </xf>
    <xf numFmtId="0" fontId="11" fillId="2" borderId="9" xfId="0" applyFont="1" applyFill="1" applyBorder="1" applyAlignment="1" applyProtection="1">
      <alignment vertical="center" wrapText="1"/>
      <protection hidden="1"/>
    </xf>
    <xf numFmtId="0" fontId="11" fillId="2" borderId="10" xfId="0" applyFont="1" applyFill="1" applyBorder="1" applyAlignment="1" applyProtection="1">
      <alignment vertical="center" wrapText="1"/>
      <protection hidden="1"/>
    </xf>
    <xf numFmtId="0" fontId="11" fillId="2" borderId="11" xfId="0" applyFont="1" applyFill="1" applyBorder="1" applyAlignment="1" applyProtection="1">
      <alignment vertical="center" wrapText="1"/>
      <protection hidden="1"/>
    </xf>
    <xf numFmtId="0" fontId="15" fillId="0" borderId="0" xfId="0" applyFont="1" applyAlignment="1" applyProtection="1">
      <alignment vertical="center" wrapText="1"/>
      <protection hidden="1"/>
    </xf>
    <xf numFmtId="0" fontId="18" fillId="11" borderId="12" xfId="0" applyFont="1" applyFill="1" applyBorder="1" applyAlignment="1" applyProtection="1">
      <alignment vertical="center" shrinkToFit="1"/>
      <protection hidden="1"/>
    </xf>
    <xf numFmtId="0" fontId="14" fillId="3" borderId="1" xfId="0" applyFont="1" applyFill="1" applyBorder="1" applyAlignment="1" applyProtection="1">
      <alignment vertical="center" shrinkToFit="1"/>
      <protection locked="0"/>
    </xf>
    <xf numFmtId="0" fontId="18" fillId="11" borderId="7" xfId="0" applyFont="1" applyFill="1" applyBorder="1" applyAlignment="1" applyProtection="1">
      <alignment vertical="center" shrinkToFit="1"/>
      <protection hidden="1"/>
    </xf>
    <xf numFmtId="0" fontId="18" fillId="11" borderId="5" xfId="0" applyFont="1" applyFill="1" applyBorder="1" applyAlignment="1" applyProtection="1">
      <alignment vertical="center" shrinkToFit="1"/>
      <protection hidden="1"/>
    </xf>
    <xf numFmtId="0" fontId="18" fillId="11" borderId="6" xfId="0" applyFont="1" applyFill="1" applyBorder="1" applyAlignment="1" applyProtection="1">
      <alignment vertical="center" shrinkToFit="1"/>
      <protection hidden="1"/>
    </xf>
    <xf numFmtId="0" fontId="26" fillId="0" borderId="0" xfId="0" applyFont="1" applyAlignment="1" applyProtection="1">
      <alignment vertical="center" wrapText="1"/>
      <protection hidden="1"/>
    </xf>
    <xf numFmtId="0" fontId="23" fillId="0" borderId="0" xfId="0" applyFont="1" applyProtection="1">
      <alignment vertical="center"/>
      <protection hidden="1"/>
    </xf>
    <xf numFmtId="0" fontId="35" fillId="10" borderId="48" xfId="0" applyFont="1" applyFill="1" applyBorder="1" applyAlignment="1" applyProtection="1">
      <alignment vertical="top" wrapText="1"/>
      <protection hidden="1"/>
    </xf>
    <xf numFmtId="0" fontId="35" fillId="10" borderId="50" xfId="0" applyFont="1" applyFill="1" applyBorder="1" applyAlignment="1" applyProtection="1">
      <alignment vertical="top" wrapText="1"/>
      <protection hidden="1"/>
    </xf>
    <xf numFmtId="0" fontId="35" fillId="10" borderId="49" xfId="0" applyFont="1" applyFill="1" applyBorder="1" applyAlignment="1" applyProtection="1">
      <alignment vertical="top" wrapText="1"/>
      <protection hidden="1"/>
    </xf>
    <xf numFmtId="0" fontId="11" fillId="2" borderId="21" xfId="0" applyFont="1" applyFill="1" applyBorder="1" applyAlignment="1" applyProtection="1">
      <alignment vertical="center" shrinkToFit="1"/>
      <protection hidden="1"/>
    </xf>
    <xf numFmtId="0" fontId="11" fillId="2" borderId="23" xfId="0" applyFont="1" applyFill="1" applyBorder="1" applyAlignment="1" applyProtection="1">
      <alignment vertical="center" shrinkToFit="1"/>
      <protection hidden="1"/>
    </xf>
    <xf numFmtId="0" fontId="11" fillId="2" borderId="9" xfId="0" applyFont="1" applyFill="1" applyBorder="1" applyAlignment="1" applyProtection="1">
      <alignment vertical="center" shrinkToFit="1"/>
      <protection hidden="1"/>
    </xf>
    <xf numFmtId="0" fontId="11" fillId="2" borderId="11" xfId="0" applyFont="1" applyFill="1" applyBorder="1" applyAlignment="1" applyProtection="1">
      <alignment vertical="center" shrinkToFit="1"/>
      <protection hidden="1"/>
    </xf>
    <xf numFmtId="0" fontId="11" fillId="2" borderId="26" xfId="0" applyFont="1" applyFill="1" applyBorder="1" applyAlignment="1" applyProtection="1">
      <alignment horizontal="center" vertical="center"/>
      <protection hidden="1"/>
    </xf>
    <xf numFmtId="0" fontId="11" fillId="2" borderId="27" xfId="0" applyFont="1" applyFill="1" applyBorder="1" applyAlignment="1" applyProtection="1">
      <alignment horizontal="center" vertical="center"/>
      <protection hidden="1"/>
    </xf>
    <xf numFmtId="0" fontId="36" fillId="2" borderId="9" xfId="0" applyFont="1" applyFill="1" applyBorder="1" applyAlignment="1" applyProtection="1">
      <alignment vertical="center" shrinkToFit="1"/>
      <protection hidden="1"/>
    </xf>
    <xf numFmtId="0" fontId="36" fillId="2" borderId="10" xfId="0" applyFont="1" applyFill="1" applyBorder="1" applyAlignment="1" applyProtection="1">
      <alignment vertical="center" shrinkToFit="1"/>
      <protection hidden="1"/>
    </xf>
    <xf numFmtId="0" fontId="36" fillId="2" borderId="11" xfId="0" applyFont="1" applyFill="1" applyBorder="1" applyAlignment="1" applyProtection="1">
      <alignment vertical="center" shrinkToFit="1"/>
      <protection hidden="1"/>
    </xf>
    <xf numFmtId="0" fontId="22" fillId="9" borderId="2" xfId="0" applyFont="1" applyFill="1" applyBorder="1" applyAlignment="1" applyProtection="1">
      <alignment vertical="center" shrinkToFit="1"/>
      <protection locked="0"/>
    </xf>
    <xf numFmtId="0" fontId="22" fillId="9" borderId="4" xfId="0" applyFont="1" applyFill="1" applyBorder="1" applyAlignment="1" applyProtection="1">
      <alignment vertical="center" shrinkToFit="1"/>
      <protection locked="0"/>
    </xf>
    <xf numFmtId="0" fontId="35" fillId="10" borderId="48" xfId="0" applyFont="1" applyFill="1" applyBorder="1" applyAlignment="1" applyProtection="1">
      <alignment horizontal="left" vertical="top" wrapText="1"/>
      <protection hidden="1"/>
    </xf>
    <xf numFmtId="0" fontId="35" fillId="10" borderId="50" xfId="0" applyFont="1" applyFill="1" applyBorder="1" applyAlignment="1" applyProtection="1">
      <alignment horizontal="left" vertical="top" wrapText="1"/>
      <protection hidden="1"/>
    </xf>
    <xf numFmtId="0" fontId="35" fillId="10" borderId="49" xfId="0" applyFont="1" applyFill="1" applyBorder="1" applyAlignment="1" applyProtection="1">
      <alignment horizontal="left" vertical="top" wrapText="1"/>
      <protection hidden="1"/>
    </xf>
    <xf numFmtId="0" fontId="11" fillId="2" borderId="26" xfId="0" applyFont="1" applyFill="1" applyBorder="1" applyAlignment="1" applyProtection="1">
      <alignment horizontal="center" vertical="center" shrinkToFit="1"/>
      <protection hidden="1"/>
    </xf>
    <xf numFmtId="0" fontId="11" fillId="2" borderId="27" xfId="0" applyFont="1" applyFill="1" applyBorder="1" applyAlignment="1" applyProtection="1">
      <alignment horizontal="center" vertical="center" shrinkToFit="1"/>
      <protection hidden="1"/>
    </xf>
    <xf numFmtId="0" fontId="11" fillId="2" borderId="22" xfId="0" applyFont="1" applyFill="1" applyBorder="1" applyAlignment="1" applyProtection="1">
      <alignment vertical="center" shrinkToFit="1"/>
      <protection hidden="1"/>
    </xf>
    <xf numFmtId="0" fontId="11" fillId="2" borderId="71" xfId="0" applyFont="1" applyFill="1" applyBorder="1" applyAlignment="1" applyProtection="1">
      <alignment vertical="center" shrinkToFit="1"/>
      <protection hidden="1"/>
    </xf>
    <xf numFmtId="0" fontId="11" fillId="2" borderId="56" xfId="0" applyFont="1" applyFill="1" applyBorder="1" applyAlignment="1" applyProtection="1">
      <alignment vertical="center" shrinkToFit="1"/>
      <protection hidden="1"/>
    </xf>
    <xf numFmtId="0" fontId="11" fillId="2" borderId="72" xfId="0" applyFont="1" applyFill="1" applyBorder="1" applyAlignment="1" applyProtection="1">
      <alignment horizontal="center" vertical="center" shrinkToFit="1"/>
      <protection hidden="1"/>
    </xf>
    <xf numFmtId="0" fontId="11" fillId="2" borderId="73" xfId="0" applyFont="1" applyFill="1" applyBorder="1" applyAlignment="1" applyProtection="1">
      <alignment horizontal="center" vertical="center" shrinkToFit="1"/>
      <protection hidden="1"/>
    </xf>
    <xf numFmtId="0" fontId="15" fillId="2" borderId="2" xfId="0" applyFont="1" applyFill="1" applyBorder="1" applyAlignment="1" applyProtection="1">
      <alignment vertical="center" shrinkToFit="1"/>
      <protection hidden="1"/>
    </xf>
    <xf numFmtId="0" fontId="15" fillId="2" borderId="3" xfId="0" applyFont="1" applyFill="1" applyBorder="1" applyAlignment="1" applyProtection="1">
      <alignment vertical="center" shrinkToFit="1"/>
      <protection hidden="1"/>
    </xf>
    <xf numFmtId="0" fontId="36" fillId="2" borderId="2" xfId="0" applyFont="1" applyFill="1" applyBorder="1" applyAlignment="1" applyProtection="1">
      <alignment vertical="center" shrinkToFit="1"/>
      <protection hidden="1"/>
    </xf>
    <xf numFmtId="0" fontId="36" fillId="2" borderId="3" xfId="0" applyFont="1" applyFill="1" applyBorder="1" applyAlignment="1" applyProtection="1">
      <alignment vertical="center" shrinkToFit="1"/>
      <protection hidden="1"/>
    </xf>
    <xf numFmtId="0" fontId="14" fillId="0" borderId="5" xfId="0" applyFont="1" applyBorder="1" applyAlignment="1" applyProtection="1">
      <alignment vertical="center" wrapText="1"/>
      <protection hidden="1"/>
    </xf>
    <xf numFmtId="0" fontId="11" fillId="2" borderId="7" xfId="0" applyFont="1" applyFill="1" applyBorder="1" applyAlignment="1" applyProtection="1">
      <alignment vertical="center" shrinkToFit="1"/>
      <protection hidden="1"/>
    </xf>
    <xf numFmtId="0" fontId="11" fillId="2" borderId="6" xfId="0" applyFont="1" applyFill="1" applyBorder="1" applyAlignment="1" applyProtection="1">
      <alignment vertical="center" shrinkToFit="1"/>
      <protection hidden="1"/>
    </xf>
    <xf numFmtId="0" fontId="8" fillId="0" borderId="51" xfId="0" applyFont="1" applyBorder="1" applyAlignment="1" applyProtection="1">
      <alignment horizontal="right" vertical="center" textRotation="90"/>
      <protection hidden="1"/>
    </xf>
    <xf numFmtId="0" fontId="11" fillId="2" borderId="2" xfId="0" applyFont="1" applyFill="1" applyBorder="1" applyAlignment="1" applyProtection="1">
      <alignment horizontal="center" vertical="center" shrinkToFit="1"/>
      <protection hidden="1"/>
    </xf>
    <xf numFmtId="0" fontId="11" fillId="2" borderId="4" xfId="0" applyFont="1" applyFill="1" applyBorder="1" applyAlignment="1" applyProtection="1">
      <alignment horizontal="center" vertical="center" shrinkToFit="1"/>
      <protection hidden="1"/>
    </xf>
    <xf numFmtId="0" fontId="11" fillId="2" borderId="2" xfId="0" applyFont="1" applyFill="1" applyBorder="1" applyAlignment="1" applyProtection="1">
      <alignment vertical="center" shrinkToFit="1"/>
      <protection hidden="1"/>
    </xf>
    <xf numFmtId="0" fontId="11" fillId="2" borderId="3" xfId="0" applyFont="1" applyFill="1" applyBorder="1" applyAlignment="1" applyProtection="1">
      <alignment vertical="center" shrinkToFit="1"/>
      <protection hidden="1"/>
    </xf>
    <xf numFmtId="0" fontId="11" fillId="2" borderId="4" xfId="0" applyFont="1" applyFill="1" applyBorder="1" applyAlignment="1" applyProtection="1">
      <alignment vertical="center" shrinkToFit="1"/>
      <protection hidden="1"/>
    </xf>
    <xf numFmtId="0" fontId="11" fillId="2" borderId="1" xfId="0" applyFont="1" applyFill="1" applyBorder="1" applyAlignment="1" applyProtection="1">
      <alignment horizontal="center" vertical="center" shrinkToFit="1"/>
      <protection hidden="1"/>
    </xf>
    <xf numFmtId="0" fontId="39" fillId="2" borderId="67" xfId="0" applyFont="1" applyFill="1" applyBorder="1" applyAlignment="1" applyProtection="1">
      <alignment vertical="center" shrinkToFit="1"/>
      <protection hidden="1"/>
    </xf>
    <xf numFmtId="0" fontId="39" fillId="2" borderId="68" xfId="0" applyFont="1" applyFill="1" applyBorder="1" applyAlignment="1" applyProtection="1">
      <alignment vertical="center" shrinkToFit="1"/>
      <protection hidden="1"/>
    </xf>
    <xf numFmtId="176" fontId="38" fillId="6" borderId="65" xfId="0" applyNumberFormat="1" applyFont="1" applyFill="1" applyBorder="1" applyAlignment="1" applyProtection="1">
      <alignment vertical="center" shrinkToFit="1"/>
      <protection hidden="1"/>
    </xf>
    <xf numFmtId="176" fontId="38" fillId="6" borderId="66" xfId="0" applyNumberFormat="1" applyFont="1" applyFill="1" applyBorder="1" applyAlignment="1" applyProtection="1">
      <alignment vertical="center" shrinkToFit="1"/>
      <protection hidden="1"/>
    </xf>
    <xf numFmtId="0" fontId="11" fillId="0" borderId="69" xfId="0" applyFont="1" applyBorder="1" applyProtection="1">
      <alignment vertical="center"/>
      <protection hidden="1"/>
    </xf>
    <xf numFmtId="0" fontId="11" fillId="0" borderId="0" xfId="0" applyFont="1" applyProtection="1">
      <alignment vertical="center"/>
      <protection hidden="1"/>
    </xf>
    <xf numFmtId="0" fontId="41" fillId="2" borderId="37" xfId="0" applyFont="1" applyFill="1" applyBorder="1" applyAlignment="1" applyProtection="1">
      <alignment vertical="center" wrapText="1"/>
      <protection hidden="1"/>
    </xf>
    <xf numFmtId="0" fontId="41" fillId="2" borderId="40" xfId="0" applyFont="1" applyFill="1" applyBorder="1" applyAlignment="1" applyProtection="1">
      <alignment vertical="center" wrapText="1"/>
      <protection hidden="1"/>
    </xf>
    <xf numFmtId="0" fontId="41" fillId="2" borderId="42" xfId="0" applyFont="1" applyFill="1" applyBorder="1" applyAlignment="1" applyProtection="1">
      <alignment vertical="center" wrapText="1"/>
      <protection hidden="1"/>
    </xf>
    <xf numFmtId="0" fontId="41" fillId="2" borderId="44" xfId="0" applyFont="1" applyFill="1" applyBorder="1" applyAlignment="1" applyProtection="1">
      <alignment vertical="center" wrapText="1"/>
      <protection hidden="1"/>
    </xf>
    <xf numFmtId="177" fontId="38" fillId="6" borderId="65" xfId="0" applyNumberFormat="1" applyFont="1" applyFill="1" applyBorder="1" applyAlignment="1" applyProtection="1">
      <alignment vertical="center" shrinkToFit="1"/>
      <protection hidden="1"/>
    </xf>
    <xf numFmtId="177" fontId="38" fillId="6" borderId="66" xfId="0" applyNumberFormat="1" applyFont="1" applyFill="1" applyBorder="1" applyAlignment="1" applyProtection="1">
      <alignment vertical="center" shrinkToFit="1"/>
      <protection hidden="1"/>
    </xf>
    <xf numFmtId="0" fontId="39" fillId="2" borderId="63" xfId="0" applyFont="1" applyFill="1" applyBorder="1" applyAlignment="1" applyProtection="1">
      <alignment vertical="center" shrinkToFit="1"/>
      <protection hidden="1"/>
    </xf>
    <xf numFmtId="0" fontId="39" fillId="2" borderId="64" xfId="0" applyFont="1" applyFill="1" applyBorder="1" applyAlignment="1" applyProtection="1">
      <alignment vertical="center" shrinkToFit="1"/>
      <protection hidden="1"/>
    </xf>
    <xf numFmtId="0" fontId="39" fillId="2" borderId="63" xfId="0" applyFont="1" applyFill="1" applyBorder="1" applyAlignment="1" applyProtection="1">
      <alignment vertical="center" wrapText="1" shrinkToFit="1"/>
      <protection hidden="1"/>
    </xf>
    <xf numFmtId="0" fontId="39" fillId="2" borderId="61" xfId="0" applyFont="1" applyFill="1" applyBorder="1" applyAlignment="1" applyProtection="1">
      <alignment vertical="center" shrinkToFit="1"/>
      <protection hidden="1"/>
    </xf>
    <xf numFmtId="0" fontId="39" fillId="2" borderId="62" xfId="0" applyFont="1" applyFill="1" applyBorder="1" applyAlignment="1" applyProtection="1">
      <alignment vertical="center" shrinkToFit="1"/>
      <protection hidden="1"/>
    </xf>
    <xf numFmtId="0" fontId="11" fillId="2" borderId="28" xfId="0" applyFont="1" applyFill="1" applyBorder="1" applyAlignment="1" applyProtection="1">
      <alignment vertical="center" shrinkToFit="1"/>
      <protection hidden="1"/>
    </xf>
    <xf numFmtId="0" fontId="11" fillId="2" borderId="30" xfId="0" applyFont="1" applyFill="1" applyBorder="1" applyAlignment="1" applyProtection="1">
      <alignment vertical="center" shrinkToFit="1"/>
      <protection hidden="1"/>
    </xf>
    <xf numFmtId="0" fontId="11" fillId="2" borderId="29" xfId="0" applyFont="1" applyFill="1" applyBorder="1" applyAlignment="1" applyProtection="1">
      <alignment vertical="center" shrinkToFit="1"/>
      <protection hidden="1"/>
    </xf>
    <xf numFmtId="0" fontId="11" fillId="2" borderId="12" xfId="0" applyFont="1" applyFill="1" applyBorder="1" applyAlignment="1" applyProtection="1">
      <alignment horizontal="center" vertical="center"/>
      <protection hidden="1"/>
    </xf>
    <xf numFmtId="0" fontId="11" fillId="2" borderId="18" xfId="0" applyFont="1" applyFill="1" applyBorder="1" applyProtection="1">
      <alignment vertical="center"/>
      <protection hidden="1"/>
    </xf>
    <xf numFmtId="0" fontId="11" fillId="2" borderId="19" xfId="0" applyFont="1" applyFill="1" applyBorder="1" applyProtection="1">
      <alignment vertical="center"/>
      <protection hidden="1"/>
    </xf>
    <xf numFmtId="0" fontId="11" fillId="2" borderId="20" xfId="0" applyFont="1" applyFill="1" applyBorder="1" applyProtection="1">
      <alignment vertical="center"/>
      <protection hidden="1"/>
    </xf>
    <xf numFmtId="0" fontId="11" fillId="2" borderId="18" xfId="0" applyFont="1" applyFill="1" applyBorder="1" applyAlignment="1" applyProtection="1">
      <alignment vertical="center" shrinkToFit="1"/>
      <protection hidden="1"/>
    </xf>
    <xf numFmtId="0" fontId="11" fillId="2" borderId="19" xfId="0" applyFont="1" applyFill="1" applyBorder="1" applyAlignment="1" applyProtection="1">
      <alignment vertical="center" shrinkToFit="1"/>
      <protection hidden="1"/>
    </xf>
    <xf numFmtId="0" fontId="11" fillId="2" borderId="57" xfId="0" applyFont="1" applyFill="1" applyBorder="1" applyAlignment="1" applyProtection="1">
      <alignment vertical="center" shrinkToFit="1"/>
      <protection hidden="1"/>
    </xf>
    <xf numFmtId="0" fontId="11" fillId="2" borderId="20" xfId="0" applyFont="1" applyFill="1" applyBorder="1" applyAlignment="1" applyProtection="1">
      <alignment vertical="center" shrinkToFit="1"/>
      <protection hidden="1"/>
    </xf>
    <xf numFmtId="0" fontId="11" fillId="2" borderId="58" xfId="0" applyFont="1" applyFill="1" applyBorder="1" applyAlignment="1" applyProtection="1">
      <alignment vertical="center" shrinkToFit="1"/>
      <protection hidden="1"/>
    </xf>
    <xf numFmtId="0" fontId="15" fillId="2" borderId="16" xfId="0" applyFont="1" applyFill="1" applyBorder="1" applyAlignment="1" applyProtection="1">
      <alignment vertical="center" shrinkToFit="1"/>
      <protection hidden="1"/>
    </xf>
    <xf numFmtId="0" fontId="15" fillId="2" borderId="14" xfId="0" applyFont="1" applyFill="1" applyBorder="1" applyAlignment="1" applyProtection="1">
      <alignment vertical="center" shrinkToFit="1"/>
      <protection hidden="1"/>
    </xf>
    <xf numFmtId="0" fontId="15" fillId="2" borderId="12" xfId="0" applyFont="1" applyFill="1" applyBorder="1" applyAlignment="1" applyProtection="1">
      <alignment vertical="center" shrinkToFit="1"/>
      <protection hidden="1"/>
    </xf>
    <xf numFmtId="0" fontId="11" fillId="2" borderId="8" xfId="0" applyFont="1" applyFill="1" applyBorder="1" applyProtection="1">
      <alignment vertical="center"/>
      <protection hidden="1"/>
    </xf>
    <xf numFmtId="0" fontId="11" fillId="2" borderId="52" xfId="0" applyFont="1" applyFill="1" applyBorder="1" applyProtection="1">
      <alignment vertical="center"/>
      <protection hidden="1"/>
    </xf>
    <xf numFmtId="0" fontId="11" fillId="2" borderId="53" xfId="0" applyFont="1" applyFill="1" applyBorder="1" applyProtection="1">
      <alignment vertical="center"/>
      <protection hidden="1"/>
    </xf>
    <xf numFmtId="176" fontId="15" fillId="0" borderId="1" xfId="0" applyNumberFormat="1" applyFont="1" applyBorder="1" applyAlignment="1">
      <alignment horizontal="center" vertical="center"/>
    </xf>
    <xf numFmtId="0" fontId="15" fillId="5" borderId="2" xfId="0" applyFont="1" applyFill="1" applyBorder="1">
      <alignment vertical="center"/>
    </xf>
    <xf numFmtId="0" fontId="15" fillId="5" borderId="3" xfId="0" applyFont="1" applyFill="1" applyBorder="1">
      <alignment vertical="center"/>
    </xf>
    <xf numFmtId="0" fontId="15" fillId="5" borderId="4" xfId="0" applyFont="1" applyFill="1" applyBorder="1">
      <alignment vertical="center"/>
    </xf>
    <xf numFmtId="0" fontId="24" fillId="0" borderId="0" xfId="0" applyFont="1" applyAlignment="1">
      <alignment horizontal="left" vertical="center" wrapText="1"/>
    </xf>
    <xf numFmtId="0" fontId="25" fillId="10" borderId="2" xfId="0" applyFont="1" applyFill="1" applyBorder="1">
      <alignment vertical="center"/>
    </xf>
    <xf numFmtId="0" fontId="25" fillId="10" borderId="4" xfId="0" applyFont="1" applyFill="1" applyBorder="1">
      <alignment vertical="center"/>
    </xf>
    <xf numFmtId="0" fontId="25" fillId="0" borderId="1" xfId="0" applyFont="1" applyBorder="1" applyAlignment="1">
      <alignment vertical="center" shrinkToFit="1"/>
    </xf>
    <xf numFmtId="0" fontId="25" fillId="0" borderId="2" xfId="0" applyFont="1" applyBorder="1" applyAlignment="1">
      <alignment vertical="center" shrinkToFit="1"/>
    </xf>
    <xf numFmtId="0" fontId="25" fillId="0" borderId="4" xfId="0" applyFont="1" applyBorder="1" applyAlignment="1">
      <alignment vertical="center" shrinkToFit="1"/>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shrinkToFit="1"/>
    </xf>
    <xf numFmtId="0" fontId="25" fillId="0" borderId="2" xfId="0" applyFont="1" applyBorder="1">
      <alignment vertical="center"/>
    </xf>
    <xf numFmtId="0" fontId="25" fillId="0" borderId="4" xfId="0" applyFont="1" applyBorder="1">
      <alignment vertical="center"/>
    </xf>
    <xf numFmtId="0" fontId="25" fillId="10" borderId="1" xfId="0" applyFont="1" applyFill="1" applyBorder="1" applyAlignment="1">
      <alignment vertical="center" shrinkToFit="1"/>
    </xf>
    <xf numFmtId="0" fontId="25" fillId="10" borderId="2" xfId="0" applyFont="1" applyFill="1" applyBorder="1" applyAlignment="1">
      <alignment vertical="center" shrinkToFit="1"/>
    </xf>
    <xf numFmtId="0" fontId="25" fillId="10" borderId="4" xfId="0" applyFont="1" applyFill="1" applyBorder="1" applyAlignment="1">
      <alignment vertical="center" shrinkToFit="1"/>
    </xf>
    <xf numFmtId="0" fontId="11" fillId="12" borderId="3" xfId="0" applyFont="1" applyFill="1" applyBorder="1">
      <alignment vertical="center"/>
    </xf>
    <xf numFmtId="0" fontId="11" fillId="12" borderId="4" xfId="0" applyFont="1" applyFill="1" applyBorder="1">
      <alignment vertical="center"/>
    </xf>
    <xf numFmtId="0" fontId="11" fillId="10" borderId="3" xfId="0" applyFont="1" applyFill="1" applyBorder="1">
      <alignment vertical="center"/>
    </xf>
    <xf numFmtId="0" fontId="11" fillId="10" borderId="4" xfId="0" applyFont="1" applyFill="1" applyBorder="1">
      <alignment vertical="center"/>
    </xf>
    <xf numFmtId="0" fontId="15" fillId="5" borderId="1" xfId="0" applyFont="1" applyFill="1" applyBorder="1">
      <alignment vertical="center"/>
    </xf>
    <xf numFmtId="176" fontId="15" fillId="10" borderId="1" xfId="0" applyNumberFormat="1" applyFont="1" applyFill="1" applyBorder="1" applyAlignment="1">
      <alignment horizontal="center" vertical="center"/>
    </xf>
    <xf numFmtId="0" fontId="11" fillId="2" borderId="16"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6"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2" xfId="0" applyFont="1" applyFill="1" applyBorder="1" applyAlignment="1">
      <alignment horizontal="center" vertical="center"/>
    </xf>
    <xf numFmtId="0" fontId="25" fillId="10" borderId="1" xfId="0" applyFont="1" applyFill="1" applyBorder="1">
      <alignment vertical="center"/>
    </xf>
    <xf numFmtId="0" fontId="25" fillId="0" borderId="1" xfId="0" applyFont="1" applyBorder="1">
      <alignment vertical="center"/>
    </xf>
    <xf numFmtId="0" fontId="25" fillId="4" borderId="2" xfId="0" applyFont="1" applyFill="1" applyBorder="1" applyAlignment="1">
      <alignment horizontal="center" vertical="center"/>
    </xf>
    <xf numFmtId="0" fontId="25" fillId="4" borderId="4" xfId="0" applyFont="1" applyFill="1" applyBorder="1" applyAlignment="1">
      <alignment horizontal="center" vertical="center"/>
    </xf>
    <xf numFmtId="0" fontId="25" fillId="4" borderId="1" xfId="0" applyFont="1" applyFill="1" applyBorder="1" applyAlignment="1">
      <alignment horizontal="center" vertical="center"/>
    </xf>
    <xf numFmtId="178" fontId="25" fillId="0" borderId="16" xfId="0" applyNumberFormat="1" applyFont="1" applyBorder="1">
      <alignment vertical="center"/>
    </xf>
    <xf numFmtId="178" fontId="25" fillId="0" borderId="12" xfId="0" applyNumberFormat="1" applyFont="1" applyBorder="1">
      <alignment vertical="center"/>
    </xf>
    <xf numFmtId="0" fontId="25" fillId="0" borderId="7" xfId="0" applyFont="1" applyBorder="1" applyAlignment="1">
      <alignment vertical="center" shrinkToFit="1"/>
    </xf>
    <xf numFmtId="0" fontId="25" fillId="0" borderId="5" xfId="0" applyFont="1" applyBorder="1" applyAlignment="1">
      <alignment vertical="center" shrinkToFit="1"/>
    </xf>
    <xf numFmtId="0" fontId="25" fillId="0" borderId="6" xfId="0" applyFont="1" applyBorder="1" applyAlignment="1">
      <alignment vertical="center" shrinkToFit="1"/>
    </xf>
    <xf numFmtId="0" fontId="25" fillId="0" borderId="9" xfId="0" applyFont="1" applyBorder="1" applyAlignment="1">
      <alignment vertical="center" shrinkToFit="1"/>
    </xf>
    <xf numFmtId="0" fontId="25" fillId="0" borderId="10" xfId="0" applyFont="1" applyBorder="1" applyAlignment="1">
      <alignment vertical="center" shrinkToFit="1"/>
    </xf>
    <xf numFmtId="0" fontId="25" fillId="0" borderId="11" xfId="0" applyFont="1" applyBorder="1" applyAlignment="1">
      <alignment vertical="center" shrinkToFit="1"/>
    </xf>
    <xf numFmtId="0" fontId="11" fillId="2" borderId="1" xfId="0" applyFont="1" applyFill="1" applyBorder="1" applyAlignment="1">
      <alignment horizontal="center" vertical="center"/>
    </xf>
    <xf numFmtId="176" fontId="15" fillId="10" borderId="1" xfId="0" applyNumberFormat="1" applyFont="1" applyFill="1" applyBorder="1" applyAlignment="1">
      <alignment vertical="center" wrapText="1"/>
    </xf>
    <xf numFmtId="176" fontId="15" fillId="10" borderId="1" xfId="0" applyNumberFormat="1" applyFont="1" applyFill="1" applyBorder="1">
      <alignment vertical="center"/>
    </xf>
    <xf numFmtId="176" fontId="11" fillId="0" borderId="1" xfId="0" applyNumberFormat="1" applyFont="1" applyBorder="1" applyAlignment="1">
      <alignment horizontal="center" vertical="center"/>
    </xf>
    <xf numFmtId="176" fontId="11" fillId="10" borderId="1" xfId="0" quotePrefix="1" applyNumberFormat="1" applyFont="1" applyFill="1" applyBorder="1" applyAlignment="1">
      <alignment horizontal="center" vertical="center"/>
    </xf>
    <xf numFmtId="176" fontId="11" fillId="10" borderId="1" xfId="0" applyNumberFormat="1" applyFont="1" applyFill="1" applyBorder="1" applyAlignment="1">
      <alignment horizontal="center" vertical="center"/>
    </xf>
    <xf numFmtId="0" fontId="15" fillId="5" borderId="59" xfId="0" applyFont="1" applyFill="1" applyBorder="1">
      <alignment vertical="center"/>
    </xf>
    <xf numFmtId="0" fontId="15" fillId="5" borderId="60" xfId="0" applyFont="1" applyFill="1" applyBorder="1">
      <alignment vertical="center"/>
    </xf>
    <xf numFmtId="0" fontId="15" fillId="5" borderId="1" xfId="0" applyFont="1" applyFill="1" applyBorder="1" applyAlignment="1">
      <alignment horizontal="center" vertical="center" shrinkToFit="1"/>
    </xf>
    <xf numFmtId="0" fontId="15" fillId="5" borderId="1" xfId="0" applyFont="1" applyFill="1" applyBorder="1" applyAlignment="1">
      <alignment vertical="center" wrapText="1"/>
    </xf>
    <xf numFmtId="0" fontId="15" fillId="5" borderId="13" xfId="0" applyFont="1" applyFill="1" applyBorder="1" applyAlignment="1">
      <alignment horizontal="center" vertical="center"/>
    </xf>
    <xf numFmtId="0" fontId="15" fillId="5" borderId="12" xfId="0" applyFont="1" applyFill="1" applyBorder="1" applyAlignment="1">
      <alignment horizontal="center" vertical="center"/>
    </xf>
    <xf numFmtId="0" fontId="15" fillId="2" borderId="1" xfId="0" applyFont="1" applyFill="1" applyBorder="1" applyAlignment="1">
      <alignment horizontal="center" vertical="center" wrapText="1"/>
    </xf>
    <xf numFmtId="0" fontId="11" fillId="0" borderId="0" xfId="0" applyFont="1" applyAlignment="1">
      <alignment vertical="center" wrapText="1"/>
    </xf>
    <xf numFmtId="0" fontId="15" fillId="0" borderId="5" xfId="0" applyFont="1" applyBorder="1">
      <alignment vertical="center"/>
    </xf>
    <xf numFmtId="0" fontId="15" fillId="5" borderId="16" xfId="0" applyFont="1" applyFill="1" applyBorder="1">
      <alignment vertical="center"/>
    </xf>
    <xf numFmtId="0" fontId="15" fillId="5" borderId="15" xfId="0" applyFont="1" applyFill="1" applyBorder="1">
      <alignment vertical="center"/>
    </xf>
    <xf numFmtId="0" fontId="15" fillId="5" borderId="12" xfId="0" applyFont="1" applyFill="1" applyBorder="1">
      <alignment vertical="center"/>
    </xf>
    <xf numFmtId="0" fontId="15" fillId="0" borderId="13" xfId="0" applyFont="1" applyBorder="1" applyAlignment="1">
      <alignment horizontal="center" vertical="center"/>
    </xf>
    <xf numFmtId="0" fontId="15" fillId="0" borderId="12" xfId="0" applyFont="1" applyBorder="1" applyAlignment="1">
      <alignment horizontal="center" vertical="center"/>
    </xf>
    <xf numFmtId="0" fontId="15" fillId="10" borderId="13" xfId="0" applyFont="1" applyFill="1" applyBorder="1" applyAlignment="1">
      <alignment horizontal="center" vertical="center"/>
    </xf>
    <xf numFmtId="0" fontId="15" fillId="10" borderId="12" xfId="0" applyFont="1" applyFill="1" applyBorder="1" applyAlignment="1">
      <alignment horizontal="center" vertical="center"/>
    </xf>
  </cellXfs>
  <cellStyles count="1">
    <cellStyle name="標準" xfId="0" builtinId="0"/>
  </cellStyles>
  <dxfs count="3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9" defaultPivotStyle="PivotStyleLight16"/>
  <colors>
    <mruColors>
      <color rgb="FF66FFFF"/>
      <color rgb="FFCCFFCC"/>
      <color rgb="FFFFFFCC"/>
      <color rgb="FFFFFF99"/>
      <color rgb="FFFFFF66"/>
      <color rgb="FFDDDDDD"/>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314325</xdr:colOff>
      <xdr:row>34</xdr:row>
      <xdr:rowOff>19050</xdr:rowOff>
    </xdr:from>
    <xdr:to>
      <xdr:col>13</xdr:col>
      <xdr:colOff>485776</xdr:colOff>
      <xdr:row>40</xdr:row>
      <xdr:rowOff>49063</xdr:rowOff>
    </xdr:to>
    <xdr:pic>
      <xdr:nvPicPr>
        <xdr:cNvPr id="4" name="図 3">
          <a:extLst>
            <a:ext uri="{FF2B5EF4-FFF2-40B4-BE49-F238E27FC236}">
              <a16:creationId xmlns:a16="http://schemas.microsoft.com/office/drawing/2014/main" id="{FACFB690-8F86-4B6C-D469-E1CF325D8B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0075" y="8524875"/>
          <a:ext cx="2428876" cy="18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295275</xdr:colOff>
      <xdr:row>5</xdr:row>
      <xdr:rowOff>47625</xdr:rowOff>
    </xdr:from>
    <xdr:to>
      <xdr:col>12</xdr:col>
      <xdr:colOff>97801</xdr:colOff>
      <xdr:row>5</xdr:row>
      <xdr:rowOff>3023625</xdr:rowOff>
    </xdr:to>
    <xdr:pic>
      <xdr:nvPicPr>
        <xdr:cNvPr id="5" name="Picture 1">
          <a:extLst>
            <a:ext uri="{FF2B5EF4-FFF2-40B4-BE49-F238E27FC236}">
              <a16:creationId xmlns:a16="http://schemas.microsoft.com/office/drawing/2014/main" id="{7299DB5C-8EBF-4DAA-ACF1-5070FEFAB24C}"/>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371475" y="2181225"/>
          <a:ext cx="5508001" cy="2976000"/>
        </a:xfrm>
        <a:prstGeom prst="rect">
          <a:avLst/>
        </a:prstGeom>
        <a:noFill/>
        <a:ln w="1">
          <a:noFill/>
          <a:miter lim="800000"/>
          <a:headEnd/>
          <a:tailEnd type="none" w="med" len="med"/>
        </a:ln>
        <a:effectLst/>
      </xdr:spPr>
    </xdr:pic>
    <xdr:clientData/>
  </xdr:twoCellAnchor>
  <xdr:twoCellAnchor editAs="oneCell">
    <xdr:from>
      <xdr:col>12</xdr:col>
      <xdr:colOff>381000</xdr:colOff>
      <xdr:row>5</xdr:row>
      <xdr:rowOff>19050</xdr:rowOff>
    </xdr:from>
    <xdr:to>
      <xdr:col>16</xdr:col>
      <xdr:colOff>2965525</xdr:colOff>
      <xdr:row>5</xdr:row>
      <xdr:rowOff>3158098</xdr:rowOff>
    </xdr:to>
    <xdr:pic>
      <xdr:nvPicPr>
        <xdr:cNvPr id="6" name="Picture 2">
          <a:extLst>
            <a:ext uri="{FF2B5EF4-FFF2-40B4-BE49-F238E27FC236}">
              <a16:creationId xmlns:a16="http://schemas.microsoft.com/office/drawing/2014/main" id="{2DD6D87B-490A-4712-AAD5-D43C565E1D25}"/>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6162675" y="2152650"/>
          <a:ext cx="4480000" cy="3139048"/>
        </a:xfrm>
        <a:prstGeom prst="rect">
          <a:avLst/>
        </a:prstGeom>
        <a:noFill/>
        <a:ln w="1">
          <a:noFill/>
          <a:miter lim="800000"/>
          <a:headEnd/>
          <a:tailEnd type="none" w="med" len="med"/>
        </a:ln>
        <a:effectLst/>
      </xdr:spPr>
    </xdr:pic>
    <xdr:clientData/>
  </xdr:twoCellAnchor>
  <xdr:twoCellAnchor>
    <xdr:from>
      <xdr:col>6</xdr:col>
      <xdr:colOff>461961</xdr:colOff>
      <xdr:row>5</xdr:row>
      <xdr:rowOff>2600324</xdr:rowOff>
    </xdr:from>
    <xdr:to>
      <xdr:col>12</xdr:col>
      <xdr:colOff>219074</xdr:colOff>
      <xdr:row>5</xdr:row>
      <xdr:rowOff>2895599</xdr:rowOff>
    </xdr:to>
    <xdr:sp macro="" textlink="">
      <xdr:nvSpPr>
        <xdr:cNvPr id="7" name="テキスト ボックス 6">
          <a:extLst>
            <a:ext uri="{FF2B5EF4-FFF2-40B4-BE49-F238E27FC236}">
              <a16:creationId xmlns:a16="http://schemas.microsoft.com/office/drawing/2014/main" id="{D5C80D1A-6CD8-FD2C-D399-613AD9F6F8D4}"/>
            </a:ext>
          </a:extLst>
        </xdr:cNvPr>
        <xdr:cNvSpPr txBox="1"/>
      </xdr:nvSpPr>
      <xdr:spPr>
        <a:xfrm>
          <a:off x="2967036" y="4733924"/>
          <a:ext cx="3033713"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(C)</a:t>
          </a:r>
          <a:r>
            <a:rPr kumimoji="1" lang="ja-JP" altLang="en-US" sz="1100"/>
            <a:t>建築環境・省エネルギー機構</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314325</xdr:colOff>
      <xdr:row>34</xdr:row>
      <xdr:rowOff>19050</xdr:rowOff>
    </xdr:from>
    <xdr:to>
      <xdr:col>13</xdr:col>
      <xdr:colOff>485776</xdr:colOff>
      <xdr:row>40</xdr:row>
      <xdr:rowOff>49063</xdr:rowOff>
    </xdr:to>
    <xdr:pic>
      <xdr:nvPicPr>
        <xdr:cNvPr id="2" name="図 1">
          <a:extLst>
            <a:ext uri="{FF2B5EF4-FFF2-40B4-BE49-F238E27FC236}">
              <a16:creationId xmlns:a16="http://schemas.microsoft.com/office/drawing/2014/main" id="{5711D2F8-E901-4DAA-8B15-AA337CFDB2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0075" y="12763500"/>
          <a:ext cx="2428876" cy="18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314325</xdr:colOff>
      <xdr:row>34</xdr:row>
      <xdr:rowOff>19050</xdr:rowOff>
    </xdr:from>
    <xdr:to>
      <xdr:col>13</xdr:col>
      <xdr:colOff>485776</xdr:colOff>
      <xdr:row>40</xdr:row>
      <xdr:rowOff>49063</xdr:rowOff>
    </xdr:to>
    <xdr:pic>
      <xdr:nvPicPr>
        <xdr:cNvPr id="2" name="図 1">
          <a:extLst>
            <a:ext uri="{FF2B5EF4-FFF2-40B4-BE49-F238E27FC236}">
              <a16:creationId xmlns:a16="http://schemas.microsoft.com/office/drawing/2014/main" id="{4576089D-9B5B-4A64-942E-38359B7EE8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0075" y="12763500"/>
          <a:ext cx="2428876" cy="18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314325</xdr:colOff>
      <xdr:row>34</xdr:row>
      <xdr:rowOff>19050</xdr:rowOff>
    </xdr:from>
    <xdr:to>
      <xdr:col>13</xdr:col>
      <xdr:colOff>485776</xdr:colOff>
      <xdr:row>40</xdr:row>
      <xdr:rowOff>49063</xdr:rowOff>
    </xdr:to>
    <xdr:pic>
      <xdr:nvPicPr>
        <xdr:cNvPr id="2" name="図 1">
          <a:extLst>
            <a:ext uri="{FF2B5EF4-FFF2-40B4-BE49-F238E27FC236}">
              <a16:creationId xmlns:a16="http://schemas.microsoft.com/office/drawing/2014/main" id="{8A8850B2-B539-4F45-A482-208F7B0380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0075" y="9191625"/>
          <a:ext cx="2428876" cy="18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T37"/>
  <sheetViews>
    <sheetView showGridLines="0" tabSelected="1" workbookViewId="0">
      <selection sqref="A1:J1"/>
    </sheetView>
  </sheetViews>
  <sheetFormatPr defaultRowHeight="12" x14ac:dyDescent="0.15"/>
  <cols>
    <col min="1" max="1" width="0.625" style="42" customWidth="1"/>
    <col min="2" max="2" width="3.375" style="1" customWidth="1"/>
    <col min="3" max="3" width="9" style="1"/>
    <col min="4" max="4" width="14.375" style="1" customWidth="1"/>
    <col min="5" max="5" width="7.25" style="1" customWidth="1"/>
    <col min="6" max="6" width="9.625" style="1" customWidth="1"/>
    <col min="7" max="7" width="9" style="1"/>
    <col min="8" max="10" width="8.75" style="1" customWidth="1"/>
    <col min="11" max="11" width="8.75" style="42" customWidth="1"/>
    <col min="12" max="12" width="7.25" style="42" customWidth="1"/>
    <col min="13" max="13" width="0.75" style="42" customWidth="1"/>
    <col min="14" max="16384" width="9" style="42"/>
  </cols>
  <sheetData>
    <row r="1" spans="1:20" customFormat="1" ht="27" customHeight="1" x14ac:dyDescent="0.15">
      <c r="A1" s="278" t="s">
        <v>532</v>
      </c>
      <c r="B1" s="278"/>
      <c r="C1" s="278"/>
      <c r="D1" s="278"/>
      <c r="E1" s="278"/>
      <c r="F1" s="278"/>
      <c r="G1" s="278"/>
      <c r="H1" s="278"/>
      <c r="I1" s="278"/>
      <c r="J1" s="278"/>
      <c r="K1" s="279" t="s">
        <v>439</v>
      </c>
      <c r="L1" s="279"/>
      <c r="M1" s="5"/>
      <c r="N1" s="67"/>
      <c r="O1" s="67"/>
      <c r="P1" s="67"/>
      <c r="Q1" s="67"/>
      <c r="R1" s="67"/>
      <c r="S1" s="67"/>
      <c r="T1" s="67"/>
    </row>
    <row r="2" spans="1:20" ht="7.5" customHeight="1" thickBot="1" x14ac:dyDescent="0.2">
      <c r="A2" s="1"/>
      <c r="K2" s="43"/>
      <c r="M2" s="1"/>
    </row>
    <row r="3" spans="1:20" s="8" customFormat="1" ht="224.25" customHeight="1" thickBot="1" x14ac:dyDescent="0.2">
      <c r="B3" s="257" t="s">
        <v>528</v>
      </c>
      <c r="C3" s="258"/>
      <c r="D3" s="258"/>
      <c r="E3" s="258"/>
      <c r="F3" s="258"/>
      <c r="G3" s="258"/>
      <c r="H3" s="258"/>
      <c r="I3" s="258"/>
      <c r="J3" s="258"/>
      <c r="K3" s="258"/>
      <c r="L3" s="259"/>
    </row>
    <row r="4" spans="1:20" s="8" customFormat="1" ht="3.75" customHeight="1" x14ac:dyDescent="0.15">
      <c r="K4" s="44"/>
    </row>
    <row r="5" spans="1:20" s="8" customFormat="1" ht="44.25" hidden="1" customHeight="1" thickBot="1" x14ac:dyDescent="0.2">
      <c r="B5" s="272" t="s">
        <v>274</v>
      </c>
      <c r="C5" s="273"/>
      <c r="D5" s="273"/>
      <c r="E5" s="273"/>
      <c r="F5" s="273"/>
      <c r="G5" s="273"/>
      <c r="H5" s="273"/>
      <c r="I5" s="273"/>
      <c r="J5" s="273"/>
      <c r="K5" s="273"/>
      <c r="L5" s="274"/>
    </row>
    <row r="6" spans="1:20" s="8" customFormat="1" ht="3.75" hidden="1" customHeight="1" thickBot="1" x14ac:dyDescent="0.2">
      <c r="K6" s="44"/>
    </row>
    <row r="7" spans="1:20" s="8" customFormat="1" ht="21" customHeight="1" thickBot="1" x14ac:dyDescent="0.2">
      <c r="B7" s="13" t="s">
        <v>385</v>
      </c>
      <c r="K7" s="44"/>
    </row>
    <row r="8" spans="1:20" s="8" customFormat="1" ht="129" customHeight="1" thickBot="1" x14ac:dyDescent="0.2">
      <c r="B8" s="275" t="s">
        <v>511</v>
      </c>
      <c r="C8" s="276"/>
      <c r="D8" s="276"/>
      <c r="E8" s="276"/>
      <c r="F8" s="276"/>
      <c r="G8" s="276"/>
      <c r="H8" s="276"/>
      <c r="I8" s="276"/>
      <c r="J8" s="276"/>
      <c r="K8" s="276"/>
      <c r="L8" s="277"/>
    </row>
    <row r="9" spans="1:20" s="8" customFormat="1" ht="3.75" customHeight="1" x14ac:dyDescent="0.15">
      <c r="K9" s="44"/>
    </row>
    <row r="10" spans="1:20" s="8" customFormat="1" ht="21" customHeight="1" thickBot="1" x14ac:dyDescent="0.2">
      <c r="B10" s="13" t="s">
        <v>386</v>
      </c>
      <c r="K10" s="44"/>
    </row>
    <row r="11" spans="1:20" s="8" customFormat="1" ht="153" customHeight="1" thickBot="1" x14ac:dyDescent="0.2">
      <c r="B11" s="275" t="s">
        <v>529</v>
      </c>
      <c r="C11" s="276"/>
      <c r="D11" s="276"/>
      <c r="E11" s="276"/>
      <c r="F11" s="276"/>
      <c r="G11" s="276"/>
      <c r="H11" s="276"/>
      <c r="I11" s="276"/>
      <c r="J11" s="276"/>
      <c r="K11" s="276"/>
      <c r="L11" s="277"/>
    </row>
    <row r="12" spans="1:20" s="8" customFormat="1" ht="3.75" customHeight="1" x14ac:dyDescent="0.15">
      <c r="K12" s="44"/>
    </row>
    <row r="13" spans="1:20" s="8" customFormat="1" ht="61.5" customHeight="1" x14ac:dyDescent="0.15">
      <c r="B13" s="88"/>
      <c r="C13" s="280" t="s">
        <v>391</v>
      </c>
      <c r="D13" s="280"/>
      <c r="E13" s="280"/>
      <c r="F13" s="280"/>
      <c r="G13" s="280"/>
      <c r="H13" s="280"/>
      <c r="I13" s="280"/>
      <c r="J13" s="280"/>
      <c r="K13" s="280"/>
      <c r="L13" s="280"/>
    </row>
    <row r="14" spans="1:20" s="8" customFormat="1" ht="3.75" customHeight="1" x14ac:dyDescent="0.15">
      <c r="K14" s="44"/>
    </row>
    <row r="15" spans="1:20" s="8" customFormat="1" ht="21" customHeight="1" thickBot="1" x14ac:dyDescent="0.2">
      <c r="B15" s="13" t="s">
        <v>387</v>
      </c>
      <c r="K15" s="44"/>
    </row>
    <row r="16" spans="1:20" s="8" customFormat="1" ht="36" customHeight="1" x14ac:dyDescent="0.15">
      <c r="B16" s="263" t="s">
        <v>512</v>
      </c>
      <c r="C16" s="264"/>
      <c r="D16" s="264"/>
      <c r="E16" s="264"/>
      <c r="F16" s="264"/>
      <c r="G16" s="264"/>
      <c r="H16" s="264"/>
      <c r="I16" s="264"/>
      <c r="J16" s="264"/>
      <c r="K16" s="264"/>
      <c r="L16" s="265"/>
      <c r="M16" s="45"/>
    </row>
    <row r="17" spans="2:12" s="8" customFormat="1" ht="41.25" customHeight="1" x14ac:dyDescent="0.15">
      <c r="B17" s="32"/>
      <c r="C17" s="266" t="s">
        <v>517</v>
      </c>
      <c r="D17" s="266"/>
      <c r="E17" s="266"/>
      <c r="F17" s="266"/>
      <c r="G17" s="266"/>
      <c r="H17" s="266"/>
      <c r="I17" s="266"/>
      <c r="J17" s="266"/>
      <c r="K17" s="266"/>
      <c r="L17" s="267"/>
    </row>
    <row r="18" spans="2:12" s="8" customFormat="1" ht="86.25" customHeight="1" x14ac:dyDescent="0.15">
      <c r="B18" s="32"/>
      <c r="C18" s="266" t="s">
        <v>513</v>
      </c>
      <c r="D18" s="266"/>
      <c r="E18" s="266"/>
      <c r="F18" s="266"/>
      <c r="G18" s="266"/>
      <c r="H18" s="266"/>
      <c r="I18" s="266"/>
      <c r="J18" s="266"/>
      <c r="K18" s="266"/>
      <c r="L18" s="267"/>
    </row>
    <row r="19" spans="2:12" s="8" customFormat="1" ht="81" customHeight="1" thickBot="1" x14ac:dyDescent="0.2">
      <c r="B19" s="33"/>
      <c r="C19" s="268" t="s">
        <v>530</v>
      </c>
      <c r="D19" s="268"/>
      <c r="E19" s="268"/>
      <c r="F19" s="268"/>
      <c r="G19" s="268"/>
      <c r="H19" s="268"/>
      <c r="I19" s="268"/>
      <c r="J19" s="268"/>
      <c r="K19" s="268"/>
      <c r="L19" s="269"/>
    </row>
    <row r="20" spans="2:12" s="8" customFormat="1" ht="3.75" customHeight="1" x14ac:dyDescent="0.15"/>
    <row r="21" spans="2:12" s="8" customFormat="1" ht="21" customHeight="1" thickBot="1" x14ac:dyDescent="0.2">
      <c r="B21" s="13" t="s">
        <v>388</v>
      </c>
      <c r="K21" s="44"/>
    </row>
    <row r="22" spans="2:12" s="8" customFormat="1" ht="37.5" customHeight="1" thickBot="1" x14ac:dyDescent="0.2">
      <c r="B22" s="260" t="s">
        <v>272</v>
      </c>
      <c r="C22" s="270"/>
      <c r="D22" s="270"/>
      <c r="E22" s="270"/>
      <c r="F22" s="270"/>
      <c r="G22" s="270"/>
      <c r="H22" s="270"/>
      <c r="I22" s="270"/>
      <c r="J22" s="270"/>
      <c r="K22" s="270"/>
      <c r="L22" s="271"/>
    </row>
    <row r="23" spans="2:12" s="8" customFormat="1" ht="3.75" customHeight="1" x14ac:dyDescent="0.15"/>
    <row r="24" spans="2:12" s="8" customFormat="1" ht="21" customHeight="1" thickBot="1" x14ac:dyDescent="0.2">
      <c r="B24" s="13" t="s">
        <v>389</v>
      </c>
      <c r="K24" s="44"/>
    </row>
    <row r="25" spans="2:12" s="8" customFormat="1" ht="19.5" customHeight="1" x14ac:dyDescent="0.15">
      <c r="B25" s="46" t="s">
        <v>163</v>
      </c>
      <c r="C25" s="34"/>
      <c r="D25" s="34"/>
      <c r="E25" s="34"/>
      <c r="F25" s="34"/>
      <c r="G25" s="34"/>
      <c r="H25" s="34"/>
      <c r="I25" s="34"/>
      <c r="J25" s="34"/>
      <c r="K25" s="34"/>
      <c r="L25" s="47"/>
    </row>
    <row r="26" spans="2:12" s="8" customFormat="1" ht="15" customHeight="1" x14ac:dyDescent="0.15">
      <c r="B26" s="35"/>
      <c r="C26" s="36"/>
      <c r="D26" s="254" t="s">
        <v>164</v>
      </c>
      <c r="E26" s="255"/>
      <c r="F26" s="255"/>
      <c r="G26" s="255"/>
      <c r="H26" s="255"/>
      <c r="I26" s="255"/>
      <c r="J26" s="255"/>
      <c r="K26" s="255"/>
      <c r="L26" s="256"/>
    </row>
    <row r="27" spans="2:12" s="8" customFormat="1" ht="6" customHeight="1" x14ac:dyDescent="0.15">
      <c r="B27" s="35"/>
      <c r="L27" s="48"/>
    </row>
    <row r="28" spans="2:12" s="8" customFormat="1" ht="15" customHeight="1" x14ac:dyDescent="0.15">
      <c r="B28" s="35"/>
      <c r="C28" s="37"/>
      <c r="D28" s="254" t="s">
        <v>275</v>
      </c>
      <c r="E28" s="255"/>
      <c r="F28" s="255"/>
      <c r="G28" s="255"/>
      <c r="H28" s="255"/>
      <c r="I28" s="255"/>
      <c r="J28" s="255"/>
      <c r="K28" s="255"/>
      <c r="L28" s="256"/>
    </row>
    <row r="29" spans="2:12" s="8" customFormat="1" ht="6" customHeight="1" x14ac:dyDescent="0.15">
      <c r="B29" s="35"/>
      <c r="L29" s="48"/>
    </row>
    <row r="30" spans="2:12" s="8" customFormat="1" ht="15" customHeight="1" x14ac:dyDescent="0.15">
      <c r="B30" s="35"/>
      <c r="C30" s="38"/>
      <c r="D30" s="254" t="s">
        <v>165</v>
      </c>
      <c r="E30" s="255"/>
      <c r="F30" s="255"/>
      <c r="G30" s="255"/>
      <c r="H30" s="255"/>
      <c r="I30" s="255"/>
      <c r="J30" s="255"/>
      <c r="K30" s="255"/>
      <c r="L30" s="256"/>
    </row>
    <row r="31" spans="2:12" s="8" customFormat="1" ht="7.5" customHeight="1" thickBot="1" x14ac:dyDescent="0.2">
      <c r="B31" s="35"/>
      <c r="L31" s="48"/>
    </row>
    <row r="32" spans="2:12" s="8" customFormat="1" ht="17.25" customHeight="1" thickTop="1" thickBot="1" x14ac:dyDescent="0.2">
      <c r="B32" s="35"/>
      <c r="C32" s="39">
        <v>3.1415000000000002</v>
      </c>
      <c r="D32" s="255" t="s">
        <v>166</v>
      </c>
      <c r="E32" s="255"/>
      <c r="F32" s="255"/>
      <c r="G32" s="255"/>
      <c r="H32" s="255"/>
      <c r="I32" s="255"/>
      <c r="J32" s="255"/>
      <c r="K32" s="255"/>
      <c r="L32" s="256"/>
    </row>
    <row r="33" spans="2:12" s="8" customFormat="1" ht="7.5" customHeight="1" thickTop="1" thickBot="1" x14ac:dyDescent="0.2">
      <c r="B33" s="40"/>
      <c r="C33" s="41"/>
      <c r="D33" s="41"/>
      <c r="E33" s="41"/>
      <c r="F33" s="41"/>
      <c r="G33" s="41"/>
      <c r="H33" s="41"/>
      <c r="I33" s="41"/>
      <c r="J33" s="41"/>
      <c r="K33" s="41"/>
      <c r="L33" s="49"/>
    </row>
    <row r="34" spans="2:12" s="8" customFormat="1" ht="3.75" customHeight="1" x14ac:dyDescent="0.15"/>
    <row r="35" spans="2:12" s="8" customFormat="1" ht="21" customHeight="1" thickBot="1" x14ac:dyDescent="0.2">
      <c r="B35" s="13" t="s">
        <v>390</v>
      </c>
      <c r="K35" s="44"/>
    </row>
    <row r="36" spans="2:12" s="8" customFormat="1" ht="38.25" customHeight="1" thickBot="1" x14ac:dyDescent="0.2">
      <c r="B36" s="260" t="s">
        <v>531</v>
      </c>
      <c r="C36" s="261"/>
      <c r="D36" s="261"/>
      <c r="E36" s="261"/>
      <c r="F36" s="261"/>
      <c r="G36" s="261"/>
      <c r="H36" s="261"/>
      <c r="I36" s="261"/>
      <c r="J36" s="261"/>
      <c r="K36" s="261"/>
      <c r="L36" s="262"/>
    </row>
    <row r="37" spans="2:12" s="8" customFormat="1" ht="4.5" customHeight="1" x14ac:dyDescent="0.15"/>
  </sheetData>
  <sheetProtection algorithmName="SHA-512" hashValue="+ctEVlw8su4L/4dog8NTrSELKAC4VvkbjbuHou1PHQJL53kO26noJnseyY109mE8Ff/vvCeHiTN1Pb2tIYYC1w==" saltValue="O5JnvzC926JBUbrBcDjrtg==" spinCount="100000" sheet="1" objects="1" scenarios="1"/>
  <mergeCells count="17">
    <mergeCell ref="A1:J1"/>
    <mergeCell ref="K1:L1"/>
    <mergeCell ref="B8:L8"/>
    <mergeCell ref="C13:L13"/>
    <mergeCell ref="D28:L28"/>
    <mergeCell ref="D30:L30"/>
    <mergeCell ref="B3:L3"/>
    <mergeCell ref="B36:L36"/>
    <mergeCell ref="B16:L16"/>
    <mergeCell ref="C17:L17"/>
    <mergeCell ref="C19:L19"/>
    <mergeCell ref="C18:L18"/>
    <mergeCell ref="D26:L26"/>
    <mergeCell ref="B22:L22"/>
    <mergeCell ref="D32:L32"/>
    <mergeCell ref="B5:L5"/>
    <mergeCell ref="B11:L11"/>
  </mergeCells>
  <phoneticPr fontId="2"/>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47"/>
  <sheetViews>
    <sheetView showGridLines="0" workbookViewId="0">
      <selection sqref="A1:J1"/>
    </sheetView>
  </sheetViews>
  <sheetFormatPr defaultRowHeight="18.75" x14ac:dyDescent="0.15"/>
  <cols>
    <col min="1" max="1" width="1" style="7" customWidth="1"/>
    <col min="2" max="2" width="9" style="8"/>
    <col min="3" max="3" width="17.5" style="8" customWidth="1"/>
    <col min="4" max="4" width="11" style="8" customWidth="1"/>
    <col min="5" max="5" width="8" style="8" customWidth="1"/>
    <col min="6" max="6" width="10.5" style="8" customWidth="1"/>
    <col min="7" max="8" width="8.75" style="8" customWidth="1"/>
    <col min="9" max="10" width="8.25" style="8" customWidth="1"/>
    <col min="11" max="11" width="8" style="7" customWidth="1"/>
    <col min="12" max="12" width="5.25" style="7" customWidth="1"/>
    <col min="13" max="13" width="1.625" style="7" customWidth="1"/>
    <col min="14" max="14" width="2.75" style="7" customWidth="1"/>
  </cols>
  <sheetData>
    <row r="1" spans="1:14" ht="27" customHeight="1" x14ac:dyDescent="0.15">
      <c r="A1" s="278" t="s">
        <v>540</v>
      </c>
      <c r="B1" s="278"/>
      <c r="C1" s="278"/>
      <c r="D1" s="278"/>
      <c r="E1" s="278"/>
      <c r="F1" s="278"/>
      <c r="G1" s="278"/>
      <c r="H1" s="278"/>
      <c r="I1" s="278"/>
      <c r="J1" s="278"/>
      <c r="K1" s="51" t="s">
        <v>439</v>
      </c>
      <c r="L1" s="69"/>
      <c r="M1" s="67"/>
      <c r="N1" s="67"/>
    </row>
    <row r="2" spans="1:14" s="3" customFormat="1" ht="5.25" customHeight="1" x14ac:dyDescent="0.15">
      <c r="A2" s="6"/>
      <c r="B2" s="6"/>
      <c r="C2" s="6"/>
      <c r="D2" s="6"/>
      <c r="E2" s="6"/>
      <c r="F2" s="6"/>
      <c r="G2" s="8"/>
      <c r="H2" s="8"/>
      <c r="I2" s="8"/>
      <c r="J2" s="8"/>
      <c r="K2" s="9"/>
      <c r="L2" s="9"/>
      <c r="M2" s="6"/>
      <c r="N2" s="6"/>
    </row>
    <row r="3" spans="1:14" s="7" customFormat="1" ht="16.5" customHeight="1" x14ac:dyDescent="0.15">
      <c r="B3" s="8" t="s">
        <v>328</v>
      </c>
      <c r="C3" s="8"/>
      <c r="D3" s="8"/>
      <c r="E3" s="8"/>
      <c r="F3" s="8"/>
      <c r="G3" s="8"/>
      <c r="H3" s="8"/>
      <c r="I3" s="8"/>
      <c r="J3" s="8"/>
    </row>
    <row r="4" spans="1:14" s="7" customFormat="1" ht="31.5" customHeight="1" x14ac:dyDescent="0.15">
      <c r="B4" s="23" t="s">
        <v>88</v>
      </c>
      <c r="C4" s="446" t="s">
        <v>153</v>
      </c>
      <c r="D4" s="447"/>
      <c r="E4" s="23" t="s">
        <v>89</v>
      </c>
      <c r="F4" s="23" t="s">
        <v>88</v>
      </c>
      <c r="G4" s="448" t="s">
        <v>153</v>
      </c>
      <c r="H4" s="448"/>
      <c r="I4" s="448"/>
      <c r="J4" s="448"/>
      <c r="K4" s="23" t="s">
        <v>89</v>
      </c>
      <c r="L4" s="29"/>
    </row>
    <row r="5" spans="1:14" s="7" customFormat="1" ht="15.75" customHeight="1" x14ac:dyDescent="0.15">
      <c r="B5" s="441" t="s">
        <v>90</v>
      </c>
      <c r="C5" s="427" t="s">
        <v>91</v>
      </c>
      <c r="D5" s="428"/>
      <c r="E5" s="86">
        <v>55</v>
      </c>
      <c r="F5" s="441" t="s">
        <v>113</v>
      </c>
      <c r="G5" s="422" t="s">
        <v>259</v>
      </c>
      <c r="H5" s="422"/>
      <c r="I5" s="422"/>
      <c r="J5" s="422"/>
      <c r="K5" s="25">
        <v>7.0000000000000007E-2</v>
      </c>
    </row>
    <row r="6" spans="1:14" s="7" customFormat="1" ht="15.75" customHeight="1" x14ac:dyDescent="0.15">
      <c r="B6" s="442"/>
      <c r="C6" s="420" t="s">
        <v>181</v>
      </c>
      <c r="D6" s="421"/>
      <c r="E6" s="87">
        <v>210</v>
      </c>
      <c r="F6" s="442"/>
      <c r="G6" s="429" t="s">
        <v>260</v>
      </c>
      <c r="H6" s="429"/>
      <c r="I6" s="429"/>
      <c r="J6" s="429"/>
      <c r="K6" s="55">
        <v>5.3999999999999999E-2</v>
      </c>
    </row>
    <row r="7" spans="1:14" s="7" customFormat="1" ht="15.75" customHeight="1" x14ac:dyDescent="0.15">
      <c r="B7" s="442"/>
      <c r="C7" s="427" t="s">
        <v>92</v>
      </c>
      <c r="D7" s="428"/>
      <c r="E7" s="86">
        <v>370</v>
      </c>
      <c r="F7" s="442"/>
      <c r="G7" s="422" t="s">
        <v>261</v>
      </c>
      <c r="H7" s="422"/>
      <c r="I7" s="422"/>
      <c r="J7" s="422"/>
      <c r="K7" s="25">
        <v>6.3E-2</v>
      </c>
    </row>
    <row r="8" spans="1:14" s="7" customFormat="1" ht="15.75" customHeight="1" x14ac:dyDescent="0.15">
      <c r="B8" s="443"/>
      <c r="C8" s="420" t="s">
        <v>93</v>
      </c>
      <c r="D8" s="421"/>
      <c r="E8" s="87">
        <v>15</v>
      </c>
      <c r="F8" s="442"/>
      <c r="G8" s="444" t="s">
        <v>262</v>
      </c>
      <c r="H8" s="444"/>
      <c r="I8" s="444"/>
      <c r="J8" s="444"/>
      <c r="K8" s="55">
        <v>6.2E-2</v>
      </c>
    </row>
    <row r="9" spans="1:14" s="7" customFormat="1" ht="15.75" customHeight="1" x14ac:dyDescent="0.15">
      <c r="B9" s="441" t="s">
        <v>94</v>
      </c>
      <c r="C9" s="427" t="s">
        <v>95</v>
      </c>
      <c r="D9" s="428"/>
      <c r="E9" s="24">
        <v>3.1</v>
      </c>
      <c r="F9" s="442"/>
      <c r="G9" s="445" t="s">
        <v>263</v>
      </c>
      <c r="H9" s="445"/>
      <c r="I9" s="445"/>
      <c r="J9" s="445"/>
      <c r="K9" s="25">
        <v>5.2999999999999999E-2</v>
      </c>
    </row>
    <row r="10" spans="1:14" s="7" customFormat="1" ht="15.75" customHeight="1" x14ac:dyDescent="0.15">
      <c r="B10" s="443"/>
      <c r="C10" s="420" t="s">
        <v>96</v>
      </c>
      <c r="D10" s="421"/>
      <c r="E10" s="54">
        <v>1</v>
      </c>
      <c r="F10" s="442"/>
      <c r="G10" s="444" t="s">
        <v>258</v>
      </c>
      <c r="H10" s="444"/>
      <c r="I10" s="444"/>
      <c r="J10" s="444"/>
      <c r="K10" s="55">
        <v>5.1999999999999998E-2</v>
      </c>
    </row>
    <row r="11" spans="1:14" s="7" customFormat="1" ht="15.75" customHeight="1" x14ac:dyDescent="0.15">
      <c r="B11" s="438" t="s">
        <v>97</v>
      </c>
      <c r="C11" s="427" t="s">
        <v>182</v>
      </c>
      <c r="D11" s="428"/>
      <c r="E11" s="24">
        <v>1.6</v>
      </c>
      <c r="F11" s="443"/>
      <c r="G11" s="445" t="s">
        <v>257</v>
      </c>
      <c r="H11" s="445"/>
      <c r="I11" s="445"/>
      <c r="J11" s="445"/>
      <c r="K11" s="25">
        <v>0.05</v>
      </c>
    </row>
    <row r="12" spans="1:14" s="7" customFormat="1" ht="15.75" customHeight="1" x14ac:dyDescent="0.15">
      <c r="B12" s="439"/>
      <c r="C12" s="420" t="s">
        <v>98</v>
      </c>
      <c r="D12" s="421"/>
      <c r="E12" s="54">
        <v>0.8</v>
      </c>
      <c r="F12" s="438" t="s">
        <v>117</v>
      </c>
      <c r="G12" s="429" t="s">
        <v>118</v>
      </c>
      <c r="H12" s="429"/>
      <c r="I12" s="429"/>
      <c r="J12" s="429"/>
      <c r="K12" s="55">
        <v>0.05</v>
      </c>
    </row>
    <row r="13" spans="1:14" s="7" customFormat="1" ht="15.75" customHeight="1" x14ac:dyDescent="0.15">
      <c r="B13" s="439"/>
      <c r="C13" s="427" t="s">
        <v>99</v>
      </c>
      <c r="D13" s="428"/>
      <c r="E13" s="24">
        <v>0.5</v>
      </c>
      <c r="F13" s="439"/>
      <c r="G13" s="422" t="s">
        <v>119</v>
      </c>
      <c r="H13" s="422"/>
      <c r="I13" s="422"/>
      <c r="J13" s="422"/>
      <c r="K13" s="25">
        <v>4.4999999999999998E-2</v>
      </c>
    </row>
    <row r="14" spans="1:14" s="7" customFormat="1" ht="15.75" customHeight="1" x14ac:dyDescent="0.15">
      <c r="B14" s="439"/>
      <c r="C14" s="420" t="s">
        <v>376</v>
      </c>
      <c r="D14" s="421"/>
      <c r="E14" s="54">
        <v>0.19</v>
      </c>
      <c r="F14" s="439"/>
      <c r="G14" s="429" t="s">
        <v>120</v>
      </c>
      <c r="H14" s="429"/>
      <c r="I14" s="429"/>
      <c r="J14" s="429"/>
      <c r="K14" s="55">
        <v>4.2000000000000003E-2</v>
      </c>
    </row>
    <row r="15" spans="1:14" s="7" customFormat="1" ht="15.75" customHeight="1" x14ac:dyDescent="0.15">
      <c r="B15" s="439"/>
      <c r="C15" s="427" t="s">
        <v>100</v>
      </c>
      <c r="D15" s="428"/>
      <c r="E15" s="24">
        <v>1.1000000000000001</v>
      </c>
      <c r="F15" s="439"/>
      <c r="G15" s="422" t="s">
        <v>121</v>
      </c>
      <c r="H15" s="422"/>
      <c r="I15" s="422"/>
      <c r="J15" s="422"/>
      <c r="K15" s="25">
        <v>3.7999999999999999E-2</v>
      </c>
    </row>
    <row r="16" spans="1:14" s="7" customFormat="1" ht="15.75" customHeight="1" x14ac:dyDescent="0.15">
      <c r="B16" s="439"/>
      <c r="C16" s="420" t="s">
        <v>101</v>
      </c>
      <c r="D16" s="421"/>
      <c r="E16" s="54">
        <v>0.53</v>
      </c>
      <c r="F16" s="439"/>
      <c r="G16" s="429" t="s">
        <v>122</v>
      </c>
      <c r="H16" s="429"/>
      <c r="I16" s="429"/>
      <c r="J16" s="429"/>
      <c r="K16" s="55">
        <v>3.5999999999999997E-2</v>
      </c>
    </row>
    <row r="17" spans="2:11" s="7" customFormat="1" ht="15.75" customHeight="1" x14ac:dyDescent="0.15">
      <c r="B17" s="439"/>
      <c r="C17" s="427" t="s">
        <v>102</v>
      </c>
      <c r="D17" s="428"/>
      <c r="E17" s="24">
        <v>1.5</v>
      </c>
      <c r="F17" s="439"/>
      <c r="G17" s="422" t="s">
        <v>123</v>
      </c>
      <c r="H17" s="422"/>
      <c r="I17" s="422"/>
      <c r="J17" s="422"/>
      <c r="K17" s="25">
        <v>3.7999999999999999E-2</v>
      </c>
    </row>
    <row r="18" spans="2:11" s="7" customFormat="1" ht="15.75" customHeight="1" x14ac:dyDescent="0.15">
      <c r="B18" s="440"/>
      <c r="C18" s="420" t="s">
        <v>103</v>
      </c>
      <c r="D18" s="421"/>
      <c r="E18" s="54">
        <v>0.4</v>
      </c>
      <c r="F18" s="439"/>
      <c r="G18" s="429" t="s">
        <v>124</v>
      </c>
      <c r="H18" s="429"/>
      <c r="I18" s="429"/>
      <c r="J18" s="429"/>
      <c r="K18" s="55">
        <v>3.5999999999999997E-2</v>
      </c>
    </row>
    <row r="19" spans="2:11" s="7" customFormat="1" ht="15.75" customHeight="1" x14ac:dyDescent="0.15">
      <c r="B19" s="438" t="s">
        <v>104</v>
      </c>
      <c r="C19" s="423" t="s">
        <v>309</v>
      </c>
      <c r="D19" s="424"/>
      <c r="E19" s="24">
        <v>0.6</v>
      </c>
      <c r="F19" s="439"/>
      <c r="G19" s="422" t="s">
        <v>125</v>
      </c>
      <c r="H19" s="422"/>
      <c r="I19" s="422"/>
      <c r="J19" s="422"/>
      <c r="K19" s="25">
        <v>3.5000000000000003E-2</v>
      </c>
    </row>
    <row r="20" spans="2:11" s="7" customFormat="1" ht="15.75" customHeight="1" x14ac:dyDescent="0.15">
      <c r="B20" s="439"/>
      <c r="C20" s="430" t="s">
        <v>323</v>
      </c>
      <c r="D20" s="431"/>
      <c r="E20" s="55">
        <v>0.221</v>
      </c>
      <c r="F20" s="439"/>
      <c r="G20" s="429" t="s">
        <v>126</v>
      </c>
      <c r="H20" s="429"/>
      <c r="I20" s="429"/>
      <c r="J20" s="429"/>
      <c r="K20" s="55">
        <v>3.4000000000000002E-2</v>
      </c>
    </row>
    <row r="21" spans="2:11" s="7" customFormat="1" ht="15.75" customHeight="1" x14ac:dyDescent="0.15">
      <c r="B21" s="439"/>
      <c r="C21" s="423" t="s">
        <v>310</v>
      </c>
      <c r="D21" s="424"/>
      <c r="E21" s="25">
        <v>0.24099999999999999</v>
      </c>
      <c r="F21" s="439"/>
      <c r="G21" s="422" t="s">
        <v>127</v>
      </c>
      <c r="H21" s="422"/>
      <c r="I21" s="422"/>
      <c r="J21" s="422"/>
      <c r="K21" s="25">
        <v>3.3000000000000002E-2</v>
      </c>
    </row>
    <row r="22" spans="2:11" s="7" customFormat="1" ht="15.75" customHeight="1" x14ac:dyDescent="0.15">
      <c r="B22" s="439"/>
      <c r="C22" s="430" t="s">
        <v>311</v>
      </c>
      <c r="D22" s="431"/>
      <c r="E22" s="55">
        <v>0.36599999999999999</v>
      </c>
      <c r="F22" s="439"/>
      <c r="G22" s="429" t="s">
        <v>128</v>
      </c>
      <c r="H22" s="429"/>
      <c r="I22" s="429"/>
      <c r="J22" s="429"/>
      <c r="K22" s="55">
        <v>5.1999999999999998E-2</v>
      </c>
    </row>
    <row r="23" spans="2:11" s="7" customFormat="1" ht="15.75" customHeight="1" x14ac:dyDescent="0.15">
      <c r="B23" s="439"/>
      <c r="C23" s="423" t="s">
        <v>312</v>
      </c>
      <c r="D23" s="424"/>
      <c r="E23" s="24">
        <v>0.74</v>
      </c>
      <c r="F23" s="440"/>
      <c r="G23" s="422" t="s">
        <v>129</v>
      </c>
      <c r="H23" s="422"/>
      <c r="I23" s="422"/>
      <c r="J23" s="422"/>
      <c r="K23" s="25">
        <v>0.04</v>
      </c>
    </row>
    <row r="24" spans="2:11" s="7" customFormat="1" ht="15.75" customHeight="1" x14ac:dyDescent="0.15">
      <c r="B24" s="439"/>
      <c r="C24" s="430" t="s">
        <v>105</v>
      </c>
      <c r="D24" s="431"/>
      <c r="E24" s="54">
        <v>0.69</v>
      </c>
      <c r="F24" s="438" t="s">
        <v>130</v>
      </c>
      <c r="G24" s="429" t="s">
        <v>131</v>
      </c>
      <c r="H24" s="429"/>
      <c r="I24" s="429"/>
      <c r="J24" s="429"/>
      <c r="K24" s="55">
        <v>6.4000000000000001E-2</v>
      </c>
    </row>
    <row r="25" spans="2:11" s="7" customFormat="1" ht="15.75" customHeight="1" x14ac:dyDescent="0.15">
      <c r="B25" s="439"/>
      <c r="C25" s="423" t="s">
        <v>313</v>
      </c>
      <c r="D25" s="424"/>
      <c r="E25" s="24">
        <v>1</v>
      </c>
      <c r="F25" s="439"/>
      <c r="G25" s="422" t="s">
        <v>132</v>
      </c>
      <c r="H25" s="422"/>
      <c r="I25" s="422"/>
      <c r="J25" s="422"/>
      <c r="K25" s="25">
        <v>3.7999999999999999E-2</v>
      </c>
    </row>
    <row r="26" spans="2:11" s="7" customFormat="1" ht="15.75" customHeight="1" x14ac:dyDescent="0.15">
      <c r="B26" s="439"/>
      <c r="C26" s="430" t="s">
        <v>314</v>
      </c>
      <c r="D26" s="431"/>
      <c r="E26" s="54">
        <v>1.3</v>
      </c>
      <c r="F26" s="439"/>
      <c r="G26" s="429" t="s">
        <v>133</v>
      </c>
      <c r="H26" s="429"/>
      <c r="I26" s="429"/>
      <c r="J26" s="429"/>
      <c r="K26" s="55">
        <v>3.5999999999999997E-2</v>
      </c>
    </row>
    <row r="27" spans="2:11" s="7" customFormat="1" ht="15.75" customHeight="1" x14ac:dyDescent="0.15">
      <c r="B27" s="439"/>
      <c r="C27" s="423" t="s">
        <v>315</v>
      </c>
      <c r="D27" s="424"/>
      <c r="E27" s="24">
        <v>0.64</v>
      </c>
      <c r="F27" s="439"/>
      <c r="G27" s="422" t="s">
        <v>134</v>
      </c>
      <c r="H27" s="422"/>
      <c r="I27" s="422"/>
      <c r="J27" s="422"/>
      <c r="K27" s="25">
        <v>4.7E-2</v>
      </c>
    </row>
    <row r="28" spans="2:11" s="7" customFormat="1" ht="15.75" customHeight="1" x14ac:dyDescent="0.15">
      <c r="B28" s="439"/>
      <c r="C28" s="430" t="s">
        <v>316</v>
      </c>
      <c r="D28" s="431"/>
      <c r="E28" s="54">
        <v>1</v>
      </c>
      <c r="F28" s="440"/>
      <c r="G28" s="429" t="s">
        <v>135</v>
      </c>
      <c r="H28" s="429"/>
      <c r="I28" s="429"/>
      <c r="J28" s="429"/>
      <c r="K28" s="55">
        <v>3.9E-2</v>
      </c>
    </row>
    <row r="29" spans="2:11" s="7" customFormat="1" ht="15.75" customHeight="1" x14ac:dyDescent="0.15">
      <c r="B29" s="439"/>
      <c r="C29" s="423" t="s">
        <v>106</v>
      </c>
      <c r="D29" s="424"/>
      <c r="E29" s="75">
        <v>6.4000000000000001E-2</v>
      </c>
      <c r="F29" s="438" t="s">
        <v>136</v>
      </c>
      <c r="G29" s="451" t="s">
        <v>137</v>
      </c>
      <c r="H29" s="452"/>
      <c r="I29" s="452"/>
      <c r="J29" s="453"/>
      <c r="K29" s="449">
        <v>0.04</v>
      </c>
    </row>
    <row r="30" spans="2:11" s="7" customFormat="1" ht="15.75" customHeight="1" x14ac:dyDescent="0.15">
      <c r="B30" s="439"/>
      <c r="C30" s="430" t="s">
        <v>256</v>
      </c>
      <c r="D30" s="431"/>
      <c r="E30" s="54">
        <v>0.13</v>
      </c>
      <c r="F30" s="440"/>
      <c r="G30" s="454"/>
      <c r="H30" s="455"/>
      <c r="I30" s="455"/>
      <c r="J30" s="456"/>
      <c r="K30" s="450"/>
    </row>
    <row r="31" spans="2:11" s="7" customFormat="1" ht="15.75" customHeight="1" x14ac:dyDescent="0.15">
      <c r="B31" s="439"/>
      <c r="C31" s="423" t="s">
        <v>264</v>
      </c>
      <c r="D31" s="424"/>
      <c r="E31" s="24">
        <v>0.18</v>
      </c>
      <c r="F31" s="438" t="s">
        <v>138</v>
      </c>
      <c r="G31" s="429" t="s">
        <v>139</v>
      </c>
      <c r="H31" s="429"/>
      <c r="I31" s="429"/>
      <c r="J31" s="429"/>
      <c r="K31" s="55">
        <v>0.04</v>
      </c>
    </row>
    <row r="32" spans="2:11" s="7" customFormat="1" ht="15.75" customHeight="1" x14ac:dyDescent="0.15">
      <c r="B32" s="440"/>
      <c r="C32" s="430" t="s">
        <v>265</v>
      </c>
      <c r="D32" s="431"/>
      <c r="E32" s="54">
        <v>0.24</v>
      </c>
      <c r="F32" s="439"/>
      <c r="G32" s="422" t="s">
        <v>140</v>
      </c>
      <c r="H32" s="422"/>
      <c r="I32" s="422"/>
      <c r="J32" s="422"/>
      <c r="K32" s="25">
        <v>3.4000000000000002E-2</v>
      </c>
    </row>
    <row r="33" spans="2:19" s="7" customFormat="1" ht="15.75" customHeight="1" x14ac:dyDescent="0.15">
      <c r="B33" s="438" t="s">
        <v>107</v>
      </c>
      <c r="C33" s="423" t="s">
        <v>108</v>
      </c>
      <c r="D33" s="424"/>
      <c r="E33" s="24">
        <v>0.12</v>
      </c>
      <c r="F33" s="439"/>
      <c r="G33" s="429" t="s">
        <v>141</v>
      </c>
      <c r="H33" s="429"/>
      <c r="I33" s="429"/>
      <c r="J33" s="429"/>
      <c r="K33" s="55">
        <v>2.8000000000000001E-2</v>
      </c>
    </row>
    <row r="34" spans="2:19" s="7" customFormat="1" ht="15.75" customHeight="1" x14ac:dyDescent="0.15">
      <c r="B34" s="439"/>
      <c r="C34" s="430" t="s">
        <v>109</v>
      </c>
      <c r="D34" s="431"/>
      <c r="E34" s="54">
        <v>0.16</v>
      </c>
      <c r="F34" s="439"/>
      <c r="G34" s="422" t="s">
        <v>142</v>
      </c>
      <c r="H34" s="422"/>
      <c r="I34" s="422"/>
      <c r="J34" s="422"/>
      <c r="K34" s="25">
        <v>4.2000000000000003E-2</v>
      </c>
    </row>
    <row r="35" spans="2:19" s="7" customFormat="1" ht="15.75" customHeight="1" x14ac:dyDescent="0.15">
      <c r="B35" s="439"/>
      <c r="C35" s="423" t="s">
        <v>317</v>
      </c>
      <c r="D35" s="424"/>
      <c r="E35" s="25">
        <v>5.6000000000000001E-2</v>
      </c>
      <c r="F35" s="439"/>
      <c r="G35" s="429" t="s">
        <v>143</v>
      </c>
      <c r="H35" s="429"/>
      <c r="I35" s="429"/>
      <c r="J35" s="429"/>
      <c r="K35" s="55">
        <v>3.7999999999999999E-2</v>
      </c>
    </row>
    <row r="36" spans="2:19" s="7" customFormat="1" ht="15.75" customHeight="1" x14ac:dyDescent="0.15">
      <c r="B36" s="439"/>
      <c r="C36" s="430" t="s">
        <v>318</v>
      </c>
      <c r="D36" s="431"/>
      <c r="E36" s="55">
        <v>6.7000000000000004E-2</v>
      </c>
      <c r="F36" s="439"/>
      <c r="G36" s="422" t="s">
        <v>144</v>
      </c>
      <c r="H36" s="422"/>
      <c r="I36" s="422"/>
      <c r="J36" s="422"/>
      <c r="K36" s="25">
        <v>3.4000000000000002E-2</v>
      </c>
    </row>
    <row r="37" spans="2:19" s="7" customFormat="1" ht="15.75" customHeight="1" x14ac:dyDescent="0.15">
      <c r="B37" s="439"/>
      <c r="C37" s="423" t="s">
        <v>110</v>
      </c>
      <c r="D37" s="424"/>
      <c r="E37" s="25">
        <v>5.8000000000000003E-2</v>
      </c>
      <c r="F37" s="439"/>
      <c r="G37" s="429" t="s">
        <v>145</v>
      </c>
      <c r="H37" s="429"/>
      <c r="I37" s="429"/>
      <c r="J37" s="429"/>
      <c r="K37" s="55">
        <v>3.5999999999999997E-2</v>
      </c>
    </row>
    <row r="38" spans="2:19" s="7" customFormat="1" ht="15.75" customHeight="1" x14ac:dyDescent="0.15">
      <c r="B38" s="439"/>
      <c r="C38" s="430" t="s">
        <v>319</v>
      </c>
      <c r="D38" s="431"/>
      <c r="E38" s="55">
        <v>0.16700000000000001</v>
      </c>
      <c r="F38" s="439"/>
      <c r="G38" s="422" t="s">
        <v>146</v>
      </c>
      <c r="H38" s="422"/>
      <c r="I38" s="422"/>
      <c r="J38" s="422"/>
      <c r="K38" s="25">
        <v>3.6999999999999998E-2</v>
      </c>
    </row>
    <row r="39" spans="2:19" s="7" customFormat="1" ht="15.75" customHeight="1" x14ac:dyDescent="0.15">
      <c r="B39" s="439"/>
      <c r="C39" s="423" t="s">
        <v>111</v>
      </c>
      <c r="D39" s="424"/>
      <c r="E39" s="24">
        <v>0.13</v>
      </c>
      <c r="F39" s="439"/>
      <c r="G39" s="429" t="s">
        <v>147</v>
      </c>
      <c r="H39" s="429"/>
      <c r="I39" s="429"/>
      <c r="J39" s="429"/>
      <c r="K39" s="55">
        <v>0.04</v>
      </c>
    </row>
    <row r="40" spans="2:19" s="7" customFormat="1" ht="15.75" customHeight="1" x14ac:dyDescent="0.15">
      <c r="B40" s="439"/>
      <c r="C40" s="430" t="s">
        <v>112</v>
      </c>
      <c r="D40" s="431"/>
      <c r="E40" s="54">
        <v>0.15</v>
      </c>
      <c r="F40" s="440"/>
      <c r="G40" s="422" t="s">
        <v>148</v>
      </c>
      <c r="H40" s="422"/>
      <c r="I40" s="422"/>
      <c r="J40" s="422"/>
      <c r="K40" s="25">
        <v>4.2999999999999997E-2</v>
      </c>
    </row>
    <row r="41" spans="2:19" s="7" customFormat="1" ht="15.75" customHeight="1" x14ac:dyDescent="0.15">
      <c r="B41" s="439"/>
      <c r="C41" s="423" t="s">
        <v>320</v>
      </c>
      <c r="D41" s="424"/>
      <c r="E41" s="24">
        <v>0.17</v>
      </c>
      <c r="F41" s="438" t="s">
        <v>154</v>
      </c>
      <c r="G41" s="429" t="s">
        <v>149</v>
      </c>
      <c r="H41" s="429"/>
      <c r="I41" s="429"/>
      <c r="J41" s="429"/>
      <c r="K41" s="55">
        <v>2.3E-2</v>
      </c>
    </row>
    <row r="42" spans="2:19" s="7" customFormat="1" ht="15.75" customHeight="1" x14ac:dyDescent="0.15">
      <c r="B42" s="439"/>
      <c r="C42" s="430" t="s">
        <v>321</v>
      </c>
      <c r="D42" s="431"/>
      <c r="E42" s="54">
        <v>0.12</v>
      </c>
      <c r="F42" s="439"/>
      <c r="G42" s="422" t="s">
        <v>150</v>
      </c>
      <c r="H42" s="422"/>
      <c r="I42" s="422"/>
      <c r="J42" s="422"/>
      <c r="K42" s="25">
        <v>2.4E-2</v>
      </c>
    </row>
    <row r="43" spans="2:19" s="7" customFormat="1" ht="15.75" customHeight="1" x14ac:dyDescent="0.15">
      <c r="B43" s="440"/>
      <c r="C43" s="423" t="s">
        <v>279</v>
      </c>
      <c r="D43" s="424"/>
      <c r="E43" s="24">
        <v>0.12</v>
      </c>
      <c r="F43" s="439"/>
      <c r="G43" s="429" t="s">
        <v>151</v>
      </c>
      <c r="H43" s="429"/>
      <c r="I43" s="429"/>
      <c r="J43" s="429"/>
      <c r="K43" s="55">
        <v>3.4000000000000002E-2</v>
      </c>
    </row>
    <row r="44" spans="2:19" s="7" customFormat="1" ht="15.75" customHeight="1" x14ac:dyDescent="0.15">
      <c r="B44" s="441" t="s">
        <v>113</v>
      </c>
      <c r="C44" s="430" t="s">
        <v>114</v>
      </c>
      <c r="D44" s="431"/>
      <c r="E44" s="54">
        <v>0.19</v>
      </c>
      <c r="F44" s="439"/>
      <c r="G44" s="422" t="s">
        <v>277</v>
      </c>
      <c r="H44" s="422"/>
      <c r="I44" s="422"/>
      <c r="J44" s="422"/>
      <c r="K44" s="25">
        <v>2.5999999999999999E-2</v>
      </c>
    </row>
    <row r="45" spans="2:19" s="7" customFormat="1" ht="15.75" customHeight="1" x14ac:dyDescent="0.15">
      <c r="B45" s="442"/>
      <c r="C45" s="423" t="s">
        <v>322</v>
      </c>
      <c r="D45" s="424"/>
      <c r="E45" s="24">
        <v>0.26</v>
      </c>
      <c r="F45" s="439"/>
      <c r="G45" s="429" t="s">
        <v>152</v>
      </c>
      <c r="H45" s="429"/>
      <c r="I45" s="429"/>
      <c r="J45" s="429"/>
      <c r="K45" s="55">
        <v>0.04</v>
      </c>
    </row>
    <row r="46" spans="2:19" s="7" customFormat="1" ht="15.75" customHeight="1" x14ac:dyDescent="0.15">
      <c r="B46" s="442"/>
      <c r="C46" s="430" t="s">
        <v>115</v>
      </c>
      <c r="D46" s="431"/>
      <c r="E46" s="54">
        <v>0.11</v>
      </c>
      <c r="F46" s="438" t="s">
        <v>183</v>
      </c>
      <c r="G46" s="422" t="s">
        <v>266</v>
      </c>
      <c r="H46" s="422"/>
      <c r="I46" s="422"/>
      <c r="J46" s="422"/>
      <c r="K46" s="25">
        <v>2.1999999999999999E-2</v>
      </c>
    </row>
    <row r="47" spans="2:19" s="7" customFormat="1" ht="15.75" customHeight="1" x14ac:dyDescent="0.15">
      <c r="B47" s="442"/>
      <c r="C47" s="423" t="s">
        <v>228</v>
      </c>
      <c r="D47" s="424"/>
      <c r="E47" s="75">
        <v>8.3000000000000004E-2</v>
      </c>
      <c r="F47" s="440"/>
      <c r="G47" s="429" t="s">
        <v>267</v>
      </c>
      <c r="H47" s="429"/>
      <c r="I47" s="429"/>
      <c r="J47" s="429"/>
      <c r="K47" s="55">
        <v>2.1999999999999999E-2</v>
      </c>
      <c r="S47" s="30"/>
    </row>
    <row r="48" spans="2:19" s="7" customFormat="1" ht="15.75" customHeight="1" x14ac:dyDescent="0.15">
      <c r="B48" s="443"/>
      <c r="C48" s="430" t="s">
        <v>116</v>
      </c>
      <c r="D48" s="431"/>
      <c r="E48" s="54">
        <v>0.08</v>
      </c>
      <c r="F48" s="438" t="s">
        <v>227</v>
      </c>
      <c r="G48" s="422" t="s">
        <v>308</v>
      </c>
      <c r="H48" s="422"/>
      <c r="I48" s="422"/>
      <c r="J48" s="422"/>
      <c r="K48" s="56">
        <v>0.09</v>
      </c>
      <c r="S48" s="30"/>
    </row>
    <row r="49" spans="2:19" s="7" customFormat="1" ht="15.75" customHeight="1" x14ac:dyDescent="0.15">
      <c r="F49" s="440"/>
      <c r="G49" s="429" t="s">
        <v>330</v>
      </c>
      <c r="H49" s="429"/>
      <c r="I49" s="429"/>
      <c r="J49" s="429"/>
      <c r="K49" s="57">
        <v>0</v>
      </c>
      <c r="S49" s="30"/>
    </row>
    <row r="50" spans="2:19" s="7" customFormat="1" ht="15.75" customHeight="1" x14ac:dyDescent="0.15">
      <c r="B50" s="419" t="s">
        <v>329</v>
      </c>
      <c r="C50" s="419"/>
      <c r="D50" s="419"/>
      <c r="E50" s="419"/>
      <c r="F50" s="419"/>
      <c r="G50" s="419"/>
      <c r="H50" s="419"/>
      <c r="I50" s="419"/>
      <c r="J50" s="419"/>
      <c r="K50" s="419"/>
      <c r="P50" s="30"/>
      <c r="Q50" s="30"/>
      <c r="R50" s="30"/>
      <c r="S50" s="30"/>
    </row>
    <row r="51" spans="2:19" s="7" customFormat="1" ht="15.75" customHeight="1" x14ac:dyDescent="0.15">
      <c r="B51" s="419"/>
      <c r="C51" s="419"/>
      <c r="D51" s="419"/>
      <c r="E51" s="419"/>
      <c r="F51" s="419"/>
      <c r="G51" s="419"/>
      <c r="H51" s="419"/>
      <c r="I51" s="419"/>
      <c r="J51" s="419"/>
      <c r="K51" s="419"/>
      <c r="P51" s="30"/>
      <c r="Q51" s="30"/>
      <c r="R51" s="30"/>
      <c r="S51" s="30"/>
    </row>
    <row r="52" spans="2:19" s="7" customFormat="1" ht="15.75" customHeight="1" x14ac:dyDescent="0.15">
      <c r="B52" s="419" t="s">
        <v>331</v>
      </c>
      <c r="C52" s="419"/>
      <c r="D52" s="419"/>
      <c r="E52" s="419"/>
      <c r="F52" s="419"/>
      <c r="G52" s="419"/>
      <c r="H52" s="419"/>
      <c r="I52" s="419"/>
      <c r="J52" s="419"/>
      <c r="K52" s="419"/>
      <c r="P52" s="30"/>
      <c r="Q52" s="30"/>
      <c r="R52" s="30"/>
      <c r="S52" s="30"/>
    </row>
    <row r="53" spans="2:19" s="7" customFormat="1" ht="15.75" customHeight="1" x14ac:dyDescent="0.15">
      <c r="B53" s="76"/>
      <c r="C53" s="76"/>
      <c r="D53" s="76"/>
      <c r="E53" s="76"/>
      <c r="F53" s="76"/>
      <c r="G53" s="76"/>
      <c r="H53" s="76"/>
      <c r="I53" s="76"/>
      <c r="J53" s="76"/>
      <c r="K53" s="76"/>
      <c r="L53" s="30"/>
      <c r="P53" s="30"/>
      <c r="Q53" s="30"/>
      <c r="R53" s="30"/>
      <c r="S53" s="30"/>
    </row>
    <row r="54" spans="2:19" s="7" customFormat="1" ht="16.5" customHeight="1" x14ac:dyDescent="0.15">
      <c r="B54" s="8" t="s">
        <v>159</v>
      </c>
      <c r="C54" s="8"/>
      <c r="D54" s="8"/>
      <c r="E54" s="8"/>
      <c r="F54" s="8"/>
      <c r="G54" s="8"/>
      <c r="H54" s="11" t="s">
        <v>276</v>
      </c>
      <c r="I54" s="11"/>
      <c r="J54" s="8"/>
    </row>
    <row r="55" spans="2:19" s="7" customFormat="1" ht="16.5" customHeight="1" x14ac:dyDescent="0.15">
      <c r="B55" s="8"/>
      <c r="C55" s="457" t="s">
        <v>21</v>
      </c>
      <c r="D55" s="457" t="s">
        <v>157</v>
      </c>
      <c r="E55" s="457" t="s">
        <v>158</v>
      </c>
      <c r="F55" s="457"/>
      <c r="G55" s="457"/>
      <c r="H55" s="457"/>
      <c r="I55" s="457"/>
      <c r="J55" s="8"/>
    </row>
    <row r="56" spans="2:19" s="7" customFormat="1" ht="16.5" customHeight="1" x14ac:dyDescent="0.15">
      <c r="B56" s="8"/>
      <c r="C56" s="457"/>
      <c r="D56" s="457"/>
      <c r="E56" s="457" t="s">
        <v>280</v>
      </c>
      <c r="F56" s="457"/>
      <c r="G56" s="457" t="s">
        <v>281</v>
      </c>
      <c r="H56" s="457"/>
      <c r="I56" s="457"/>
    </row>
    <row r="57" spans="2:19" s="7" customFormat="1" ht="16.5" customHeight="1" x14ac:dyDescent="0.15">
      <c r="B57" s="8"/>
      <c r="C57" s="73" t="s">
        <v>80</v>
      </c>
      <c r="D57" s="50">
        <v>0.09</v>
      </c>
      <c r="E57" s="460">
        <v>0.04</v>
      </c>
      <c r="F57" s="460"/>
      <c r="G57" s="90">
        <v>0.09</v>
      </c>
      <c r="H57" s="432" t="s">
        <v>282</v>
      </c>
      <c r="I57" s="433"/>
    </row>
    <row r="58" spans="2:19" s="7" customFormat="1" ht="16.5" customHeight="1" x14ac:dyDescent="0.15">
      <c r="B58" s="8"/>
      <c r="C58" s="73" t="s">
        <v>155</v>
      </c>
      <c r="D58" s="52">
        <v>0.09</v>
      </c>
      <c r="E58" s="461" t="s">
        <v>184</v>
      </c>
      <c r="F58" s="461"/>
      <c r="G58" s="53">
        <v>0.09</v>
      </c>
      <c r="H58" s="434" t="s">
        <v>283</v>
      </c>
      <c r="I58" s="435"/>
    </row>
    <row r="59" spans="2:19" s="7" customFormat="1" ht="16.5" customHeight="1" x14ac:dyDescent="0.15">
      <c r="B59" s="8"/>
      <c r="C59" s="73" t="s">
        <v>60</v>
      </c>
      <c r="D59" s="50">
        <v>0.11</v>
      </c>
      <c r="E59" s="460">
        <v>0.04</v>
      </c>
      <c r="F59" s="460"/>
      <c r="G59" s="90">
        <v>0.11</v>
      </c>
      <c r="H59" s="432" t="s">
        <v>282</v>
      </c>
      <c r="I59" s="433"/>
    </row>
    <row r="60" spans="2:19" s="7" customFormat="1" ht="16.5" customHeight="1" x14ac:dyDescent="0.15">
      <c r="B60" s="8"/>
      <c r="C60" s="73" t="s">
        <v>156</v>
      </c>
      <c r="D60" s="52">
        <v>0.15</v>
      </c>
      <c r="E60" s="462">
        <v>0.04</v>
      </c>
      <c r="F60" s="462"/>
      <c r="G60" s="53">
        <v>0.15</v>
      </c>
      <c r="H60" s="434" t="s">
        <v>284</v>
      </c>
      <c r="I60" s="435"/>
    </row>
    <row r="61" spans="2:19" s="7" customFormat="1" ht="10.5" customHeight="1" x14ac:dyDescent="0.15">
      <c r="B61" s="8"/>
      <c r="C61" s="8"/>
      <c r="D61" s="11"/>
      <c r="E61" s="11"/>
      <c r="F61" s="11"/>
      <c r="G61" s="11"/>
      <c r="H61" s="8"/>
      <c r="I61" s="8"/>
      <c r="J61" s="8"/>
    </row>
    <row r="62" spans="2:19" s="7" customFormat="1" ht="15.75" customHeight="1" x14ac:dyDescent="0.15">
      <c r="B62" s="8" t="s">
        <v>231</v>
      </c>
      <c r="C62" s="8"/>
      <c r="D62" s="8"/>
      <c r="E62" s="8"/>
      <c r="F62" s="8"/>
      <c r="G62" s="8"/>
      <c r="H62" s="11"/>
      <c r="I62" s="11"/>
      <c r="J62" s="8"/>
    </row>
    <row r="63" spans="2:19" ht="16.5" customHeight="1" x14ac:dyDescent="0.15">
      <c r="B63" s="425" t="s">
        <v>244</v>
      </c>
      <c r="C63" s="425"/>
      <c r="D63" s="425"/>
      <c r="E63" s="425"/>
      <c r="F63" s="425"/>
      <c r="G63" s="425" t="s">
        <v>241</v>
      </c>
      <c r="H63" s="425"/>
      <c r="I63" s="425"/>
      <c r="J63" s="425"/>
    </row>
    <row r="64" spans="2:19" ht="16.5" customHeight="1" x14ac:dyDescent="0.15">
      <c r="B64" s="425"/>
      <c r="C64" s="425"/>
      <c r="D64" s="425"/>
      <c r="E64" s="425"/>
      <c r="F64" s="425"/>
      <c r="G64" s="426" t="s">
        <v>242</v>
      </c>
      <c r="H64" s="426"/>
      <c r="I64" s="426" t="s">
        <v>243</v>
      </c>
      <c r="J64" s="426"/>
    </row>
    <row r="65" spans="2:10" ht="18" customHeight="1" x14ac:dyDescent="0.15">
      <c r="B65" s="436" t="s">
        <v>232</v>
      </c>
      <c r="C65" s="71" t="s">
        <v>233</v>
      </c>
      <c r="D65" s="436" t="s">
        <v>235</v>
      </c>
      <c r="E65" s="436"/>
      <c r="F65" s="436"/>
      <c r="G65" s="415">
        <v>0.2</v>
      </c>
      <c r="H65" s="415"/>
      <c r="I65" s="415">
        <v>0.8</v>
      </c>
      <c r="J65" s="415"/>
    </row>
    <row r="66" spans="2:10" ht="18" customHeight="1" x14ac:dyDescent="0.15">
      <c r="B66" s="436"/>
      <c r="C66" s="436" t="s">
        <v>234</v>
      </c>
      <c r="D66" s="436" t="s">
        <v>235</v>
      </c>
      <c r="E66" s="436"/>
      <c r="F66" s="436"/>
      <c r="G66" s="437">
        <v>0.2</v>
      </c>
      <c r="H66" s="437"/>
      <c r="I66" s="437">
        <v>0.8</v>
      </c>
      <c r="J66" s="437"/>
    </row>
    <row r="67" spans="2:10" ht="18" customHeight="1" x14ac:dyDescent="0.15">
      <c r="B67" s="436"/>
      <c r="C67" s="436"/>
      <c r="D67" s="436" t="s">
        <v>236</v>
      </c>
      <c r="E67" s="436"/>
      <c r="F67" s="436"/>
      <c r="G67" s="415">
        <v>0.15</v>
      </c>
      <c r="H67" s="415"/>
      <c r="I67" s="415">
        <v>0.85</v>
      </c>
      <c r="J67" s="415"/>
    </row>
    <row r="68" spans="2:10" ht="72" customHeight="1" x14ac:dyDescent="0.15">
      <c r="B68" s="436"/>
      <c r="C68" s="436"/>
      <c r="D68" s="436" t="s">
        <v>237</v>
      </c>
      <c r="E68" s="436"/>
      <c r="F68" s="436"/>
      <c r="G68" s="458" t="s">
        <v>424</v>
      </c>
      <c r="H68" s="459"/>
      <c r="I68" s="459"/>
      <c r="J68" s="459"/>
    </row>
    <row r="69" spans="2:10" ht="18" customHeight="1" x14ac:dyDescent="0.15">
      <c r="B69" s="436"/>
      <c r="C69" s="416" t="s">
        <v>238</v>
      </c>
      <c r="D69" s="417"/>
      <c r="E69" s="417"/>
      <c r="F69" s="418"/>
      <c r="G69" s="415">
        <v>0.15</v>
      </c>
      <c r="H69" s="415"/>
      <c r="I69" s="415">
        <v>0.85</v>
      </c>
      <c r="J69" s="415"/>
    </row>
    <row r="70" spans="2:10" ht="18" customHeight="1" x14ac:dyDescent="0.15">
      <c r="B70" s="436"/>
      <c r="C70" s="71" t="s">
        <v>239</v>
      </c>
      <c r="D70" s="436" t="s">
        <v>235</v>
      </c>
      <c r="E70" s="436"/>
      <c r="F70" s="436"/>
      <c r="G70" s="437">
        <v>0.3</v>
      </c>
      <c r="H70" s="437"/>
      <c r="I70" s="437">
        <v>0.7</v>
      </c>
      <c r="J70" s="437"/>
    </row>
    <row r="71" spans="2:10" ht="18" customHeight="1" x14ac:dyDescent="0.15">
      <c r="B71" s="72" t="s">
        <v>240</v>
      </c>
      <c r="C71" s="416" t="s">
        <v>235</v>
      </c>
      <c r="D71" s="417"/>
      <c r="E71" s="417"/>
      <c r="F71" s="418"/>
      <c r="G71" s="415">
        <v>0.13</v>
      </c>
      <c r="H71" s="415"/>
      <c r="I71" s="415">
        <v>0.87</v>
      </c>
      <c r="J71" s="415"/>
    </row>
    <row r="72" spans="2:10" ht="10.5" customHeight="1" x14ac:dyDescent="0.15"/>
    <row r="73" spans="2:10" s="7" customFormat="1" ht="15.75" customHeight="1" x14ac:dyDescent="0.15">
      <c r="B73" s="8" t="s">
        <v>245</v>
      </c>
      <c r="C73" s="8"/>
      <c r="D73" s="8"/>
      <c r="E73" s="8"/>
      <c r="F73" s="8"/>
      <c r="G73" s="8"/>
      <c r="H73" s="11"/>
      <c r="I73" s="11"/>
      <c r="J73" s="8"/>
    </row>
    <row r="74" spans="2:10" ht="16.5" customHeight="1" x14ac:dyDescent="0.15">
      <c r="B74" s="425" t="s">
        <v>244</v>
      </c>
      <c r="C74" s="425"/>
      <c r="D74" s="425"/>
      <c r="E74" s="425"/>
      <c r="F74" s="425"/>
      <c r="G74" s="425" t="s">
        <v>241</v>
      </c>
      <c r="H74" s="425"/>
      <c r="I74" s="425"/>
      <c r="J74" s="425"/>
    </row>
    <row r="75" spans="2:10" ht="16.5" customHeight="1" x14ac:dyDescent="0.15">
      <c r="B75" s="425"/>
      <c r="C75" s="425"/>
      <c r="D75" s="425"/>
      <c r="E75" s="425"/>
      <c r="F75" s="425"/>
      <c r="G75" s="426" t="s">
        <v>242</v>
      </c>
      <c r="H75" s="426"/>
      <c r="I75" s="426" t="s">
        <v>243</v>
      </c>
      <c r="J75" s="426"/>
    </row>
    <row r="76" spans="2:10" ht="18" customHeight="1" x14ac:dyDescent="0.15">
      <c r="B76" s="91" t="s">
        <v>232</v>
      </c>
      <c r="C76" s="416" t="s">
        <v>246</v>
      </c>
      <c r="D76" s="417"/>
      <c r="E76" s="417"/>
      <c r="F76" s="418"/>
      <c r="G76" s="415">
        <v>0.17</v>
      </c>
      <c r="H76" s="415"/>
      <c r="I76" s="415">
        <v>0.83</v>
      </c>
      <c r="J76" s="415"/>
    </row>
    <row r="77" spans="2:10" ht="18" customHeight="1" x14ac:dyDescent="0.15">
      <c r="B77" s="72" t="s">
        <v>247</v>
      </c>
      <c r="C77" s="416" t="s">
        <v>248</v>
      </c>
      <c r="D77" s="417"/>
      <c r="E77" s="417"/>
      <c r="F77" s="418"/>
      <c r="G77" s="415">
        <v>0.23</v>
      </c>
      <c r="H77" s="415"/>
      <c r="I77" s="415">
        <v>0.77</v>
      </c>
      <c r="J77" s="415"/>
    </row>
    <row r="78" spans="2:10" ht="11.25" customHeight="1" x14ac:dyDescent="0.15">
      <c r="B78" s="471"/>
      <c r="C78" s="471"/>
      <c r="D78" s="471"/>
      <c r="E78" s="471"/>
      <c r="F78" s="471"/>
      <c r="G78" s="471"/>
      <c r="H78" s="471"/>
      <c r="I78" s="471"/>
      <c r="J78" s="471"/>
    </row>
    <row r="79" spans="2:10" s="7" customFormat="1" ht="15.75" customHeight="1" x14ac:dyDescent="0.15">
      <c r="B79" s="8" t="s">
        <v>249</v>
      </c>
      <c r="C79" s="8"/>
      <c r="D79" s="8"/>
      <c r="E79" s="8"/>
      <c r="F79" s="8"/>
      <c r="G79" s="8"/>
      <c r="H79" s="11"/>
      <c r="I79" s="11"/>
      <c r="J79" s="8"/>
    </row>
    <row r="80" spans="2:10" ht="16.5" customHeight="1" x14ac:dyDescent="0.15">
      <c r="B80" s="425" t="s">
        <v>244</v>
      </c>
      <c r="C80" s="425"/>
      <c r="D80" s="425"/>
      <c r="E80" s="425"/>
      <c r="F80" s="425"/>
      <c r="G80" s="425" t="s">
        <v>241</v>
      </c>
      <c r="H80" s="425"/>
      <c r="I80" s="425"/>
      <c r="J80" s="425"/>
    </row>
    <row r="81" spans="2:10" ht="16.5" customHeight="1" x14ac:dyDescent="0.15">
      <c r="B81" s="425"/>
      <c r="C81" s="425"/>
      <c r="D81" s="425"/>
      <c r="E81" s="425"/>
      <c r="F81" s="425"/>
      <c r="G81" s="426" t="s">
        <v>250</v>
      </c>
      <c r="H81" s="426"/>
      <c r="I81" s="426" t="s">
        <v>251</v>
      </c>
      <c r="J81" s="426"/>
    </row>
    <row r="82" spans="2:10" ht="18" customHeight="1" x14ac:dyDescent="0.15">
      <c r="B82" s="416" t="s">
        <v>252</v>
      </c>
      <c r="C82" s="417"/>
      <c r="D82" s="417"/>
      <c r="E82" s="417"/>
      <c r="F82" s="418"/>
      <c r="G82" s="415">
        <v>0.13</v>
      </c>
      <c r="H82" s="415"/>
      <c r="I82" s="415">
        <v>0.87</v>
      </c>
      <c r="J82" s="415"/>
    </row>
    <row r="83" spans="2:10" ht="11.25" customHeight="1" x14ac:dyDescent="0.15"/>
    <row r="84" spans="2:10" s="7" customFormat="1" ht="15.75" customHeight="1" x14ac:dyDescent="0.15">
      <c r="B84" s="8" t="s">
        <v>253</v>
      </c>
      <c r="C84" s="8"/>
      <c r="D84" s="8"/>
      <c r="E84" s="8"/>
      <c r="F84" s="8"/>
      <c r="G84" s="8"/>
      <c r="H84" s="11"/>
      <c r="I84" s="11"/>
      <c r="J84" s="8"/>
    </row>
    <row r="85" spans="2:10" ht="16.5" customHeight="1" x14ac:dyDescent="0.15">
      <c r="B85" s="425" t="s">
        <v>244</v>
      </c>
      <c r="C85" s="425"/>
      <c r="D85" s="425"/>
      <c r="E85" s="425"/>
      <c r="F85" s="425"/>
      <c r="G85" s="425" t="s">
        <v>241</v>
      </c>
      <c r="H85" s="425"/>
      <c r="I85" s="425"/>
      <c r="J85" s="425"/>
    </row>
    <row r="86" spans="2:10" ht="16.5" customHeight="1" x14ac:dyDescent="0.15">
      <c r="B86" s="425"/>
      <c r="C86" s="425"/>
      <c r="D86" s="425"/>
      <c r="E86" s="425"/>
      <c r="F86" s="425"/>
      <c r="G86" s="426" t="s">
        <v>250</v>
      </c>
      <c r="H86" s="426"/>
      <c r="I86" s="426" t="s">
        <v>251</v>
      </c>
      <c r="J86" s="426"/>
    </row>
    <row r="87" spans="2:10" ht="18" customHeight="1" x14ac:dyDescent="0.15">
      <c r="B87" s="416" t="s">
        <v>255</v>
      </c>
      <c r="C87" s="417"/>
      <c r="D87" s="417"/>
      <c r="E87" s="417"/>
      <c r="F87" s="418"/>
      <c r="G87" s="415">
        <v>0.14000000000000001</v>
      </c>
      <c r="H87" s="415"/>
      <c r="I87" s="415">
        <v>0.86</v>
      </c>
      <c r="J87" s="415"/>
    </row>
    <row r="88" spans="2:10" ht="15" customHeight="1" x14ac:dyDescent="0.15"/>
    <row r="89" spans="2:10" x14ac:dyDescent="0.15">
      <c r="B89" s="8" t="s">
        <v>435</v>
      </c>
    </row>
    <row r="90" spans="2:10" ht="34.5" customHeight="1" x14ac:dyDescent="0.15">
      <c r="B90" s="426" t="s">
        <v>347</v>
      </c>
      <c r="C90" s="426"/>
      <c r="D90" s="426"/>
      <c r="E90" s="425" t="s">
        <v>344</v>
      </c>
      <c r="F90" s="425"/>
      <c r="G90" s="469" t="s">
        <v>377</v>
      </c>
      <c r="H90" s="425"/>
      <c r="I90" s="425"/>
      <c r="J90" s="425"/>
    </row>
    <row r="91" spans="2:10" ht="19.5" customHeight="1" x14ac:dyDescent="0.15">
      <c r="B91" s="436" t="s">
        <v>338</v>
      </c>
      <c r="C91" s="436"/>
      <c r="D91" s="436"/>
      <c r="E91" s="467" t="s">
        <v>339</v>
      </c>
      <c r="F91" s="467"/>
      <c r="G91" s="475" t="s">
        <v>345</v>
      </c>
      <c r="H91" s="475"/>
      <c r="I91" s="475"/>
      <c r="J91" s="475"/>
    </row>
    <row r="92" spans="2:10" ht="19.5" customHeight="1" x14ac:dyDescent="0.15">
      <c r="B92" s="436"/>
      <c r="C92" s="436"/>
      <c r="D92" s="436"/>
      <c r="E92" s="468" t="s">
        <v>340</v>
      </c>
      <c r="F92" s="468"/>
      <c r="G92" s="476" t="s">
        <v>348</v>
      </c>
      <c r="H92" s="476"/>
      <c r="I92" s="476"/>
      <c r="J92" s="476"/>
    </row>
    <row r="93" spans="2:10" ht="19.5" customHeight="1" x14ac:dyDescent="0.15">
      <c r="B93" s="472" t="s">
        <v>341</v>
      </c>
      <c r="C93" s="472"/>
      <c r="D93" s="472"/>
      <c r="E93" s="467" t="s">
        <v>339</v>
      </c>
      <c r="F93" s="467"/>
      <c r="G93" s="477" t="s">
        <v>349</v>
      </c>
      <c r="H93" s="477"/>
      <c r="I93" s="477"/>
      <c r="J93" s="477"/>
    </row>
    <row r="94" spans="2:10" ht="19.5" customHeight="1" x14ac:dyDescent="0.15">
      <c r="B94" s="474" t="s">
        <v>342</v>
      </c>
      <c r="C94" s="474"/>
      <c r="D94" s="474"/>
      <c r="E94" s="468" t="s">
        <v>340</v>
      </c>
      <c r="F94" s="468"/>
      <c r="G94" s="478" t="s">
        <v>350</v>
      </c>
      <c r="H94" s="478"/>
      <c r="I94" s="478"/>
      <c r="J94" s="478"/>
    </row>
    <row r="95" spans="2:10" ht="19.5" customHeight="1" x14ac:dyDescent="0.15">
      <c r="B95" s="436" t="s">
        <v>343</v>
      </c>
      <c r="C95" s="436"/>
      <c r="D95" s="436"/>
      <c r="E95" s="467" t="s">
        <v>339</v>
      </c>
      <c r="F95" s="467"/>
      <c r="G95" s="475" t="s">
        <v>351</v>
      </c>
      <c r="H95" s="475"/>
      <c r="I95" s="475"/>
      <c r="J95" s="475"/>
    </row>
    <row r="96" spans="2:10" ht="19.5" customHeight="1" x14ac:dyDescent="0.15">
      <c r="B96" s="436"/>
      <c r="C96" s="436"/>
      <c r="D96" s="436"/>
      <c r="E96" s="468" t="s">
        <v>340</v>
      </c>
      <c r="F96" s="468"/>
      <c r="G96" s="476" t="s">
        <v>346</v>
      </c>
      <c r="H96" s="476"/>
      <c r="I96" s="476"/>
      <c r="J96" s="476"/>
    </row>
    <row r="97" spans="2:10" ht="15.75" customHeight="1" x14ac:dyDescent="0.15"/>
    <row r="98" spans="2:10" ht="15.75" customHeight="1" x14ac:dyDescent="0.15"/>
    <row r="99" spans="2:10" ht="15.75" customHeight="1" x14ac:dyDescent="0.15"/>
    <row r="100" spans="2:10" ht="15.75" customHeight="1" x14ac:dyDescent="0.15"/>
    <row r="101" spans="2:10" ht="18" customHeight="1" x14ac:dyDescent="0.15">
      <c r="B101" s="8" t="s">
        <v>436</v>
      </c>
    </row>
    <row r="102" spans="2:10" ht="21" customHeight="1" x14ac:dyDescent="0.15">
      <c r="B102" s="426" t="s">
        <v>269</v>
      </c>
      <c r="C102" s="426"/>
      <c r="D102" s="426"/>
      <c r="E102" s="77" t="s">
        <v>352</v>
      </c>
      <c r="F102" s="77" t="s">
        <v>353</v>
      </c>
      <c r="G102" s="77" t="s">
        <v>352</v>
      </c>
      <c r="H102" s="77" t="s">
        <v>353</v>
      </c>
      <c r="I102" s="77" t="s">
        <v>352</v>
      </c>
      <c r="J102" s="77" t="s">
        <v>353</v>
      </c>
    </row>
    <row r="103" spans="2:10" ht="17.25" customHeight="1" x14ac:dyDescent="0.15">
      <c r="B103" s="436" t="s">
        <v>360</v>
      </c>
      <c r="C103" s="436"/>
      <c r="D103" s="436"/>
      <c r="E103" s="82" t="s">
        <v>354</v>
      </c>
      <c r="F103" s="83">
        <v>1.4</v>
      </c>
      <c r="G103" s="82" t="s">
        <v>356</v>
      </c>
      <c r="H103" s="83">
        <v>1.2</v>
      </c>
      <c r="I103" s="82" t="s">
        <v>358</v>
      </c>
      <c r="J103" s="83">
        <v>1</v>
      </c>
    </row>
    <row r="104" spans="2:10" ht="17.25" customHeight="1" x14ac:dyDescent="0.15">
      <c r="B104" s="436"/>
      <c r="C104" s="436"/>
      <c r="D104" s="436"/>
      <c r="E104" s="80" t="s">
        <v>355</v>
      </c>
      <c r="F104" s="81">
        <v>0.9</v>
      </c>
      <c r="G104" s="80" t="s">
        <v>357</v>
      </c>
      <c r="H104" s="81">
        <v>0.82</v>
      </c>
      <c r="I104" s="80" t="s">
        <v>359</v>
      </c>
      <c r="J104" s="81">
        <v>0.76</v>
      </c>
    </row>
    <row r="105" spans="2:10" ht="17.25" customHeight="1" x14ac:dyDescent="0.15">
      <c r="B105" s="436" t="s">
        <v>361</v>
      </c>
      <c r="C105" s="436"/>
      <c r="D105" s="436"/>
      <c r="E105" s="82" t="s">
        <v>362</v>
      </c>
      <c r="F105" s="84">
        <v>1.7</v>
      </c>
      <c r="G105" s="82" t="s">
        <v>363</v>
      </c>
      <c r="H105" s="84">
        <v>1.4</v>
      </c>
      <c r="I105" s="82" t="s">
        <v>364</v>
      </c>
      <c r="J105" s="84">
        <v>1.2</v>
      </c>
    </row>
    <row r="106" spans="2:10" ht="17.25" customHeight="1" x14ac:dyDescent="0.15">
      <c r="B106" s="436"/>
      <c r="C106" s="436"/>
      <c r="D106" s="436"/>
      <c r="E106" s="80" t="s">
        <v>365</v>
      </c>
      <c r="F106" s="85">
        <v>1.1000000000000001</v>
      </c>
      <c r="G106" s="80" t="s">
        <v>366</v>
      </c>
      <c r="H106" s="85">
        <v>0.99</v>
      </c>
      <c r="I106" s="80" t="s">
        <v>367</v>
      </c>
      <c r="J106" s="85">
        <v>0.92</v>
      </c>
    </row>
    <row r="107" spans="2:10" ht="17.25" customHeight="1" x14ac:dyDescent="0.15">
      <c r="B107" s="436" t="s">
        <v>368</v>
      </c>
      <c r="C107" s="436"/>
      <c r="D107" s="436"/>
      <c r="E107" s="82" t="s">
        <v>362</v>
      </c>
      <c r="F107" s="83">
        <v>1.7</v>
      </c>
      <c r="G107" s="82" t="s">
        <v>363</v>
      </c>
      <c r="H107" s="83">
        <v>1.5</v>
      </c>
      <c r="I107" s="82" t="s">
        <v>364</v>
      </c>
      <c r="J107" s="83">
        <v>1.3</v>
      </c>
    </row>
    <row r="108" spans="2:10" ht="17.25" customHeight="1" x14ac:dyDescent="0.15">
      <c r="B108" s="436"/>
      <c r="C108" s="436"/>
      <c r="D108" s="436"/>
      <c r="E108" s="80" t="s">
        <v>365</v>
      </c>
      <c r="F108" s="81">
        <v>1.2</v>
      </c>
      <c r="G108" s="80" t="s">
        <v>366</v>
      </c>
      <c r="H108" s="81">
        <v>1.1000000000000001</v>
      </c>
      <c r="I108" s="80" t="s">
        <v>367</v>
      </c>
      <c r="J108" s="81">
        <v>1.1000000000000001</v>
      </c>
    </row>
    <row r="109" spans="2:10" ht="17.25" customHeight="1" x14ac:dyDescent="0.15">
      <c r="B109" s="436" t="s">
        <v>369</v>
      </c>
      <c r="C109" s="436"/>
      <c r="D109" s="436"/>
      <c r="E109" s="82" t="s">
        <v>362</v>
      </c>
      <c r="F109" s="84">
        <v>2</v>
      </c>
      <c r="G109" s="82" t="s">
        <v>363</v>
      </c>
      <c r="H109" s="84">
        <v>1.7</v>
      </c>
      <c r="I109" s="82" t="s">
        <v>364</v>
      </c>
      <c r="J109" s="84">
        <v>1.5</v>
      </c>
    </row>
    <row r="110" spans="2:10" ht="17.25" customHeight="1" x14ac:dyDescent="0.15">
      <c r="B110" s="436"/>
      <c r="C110" s="436"/>
      <c r="D110" s="436"/>
      <c r="E110" s="80" t="s">
        <v>365</v>
      </c>
      <c r="F110" s="85">
        <v>1.4</v>
      </c>
      <c r="G110" s="80" t="s">
        <v>366</v>
      </c>
      <c r="H110" s="85">
        <v>1.3</v>
      </c>
      <c r="I110" s="80" t="s">
        <v>367</v>
      </c>
      <c r="J110" s="85">
        <v>1.2</v>
      </c>
    </row>
    <row r="111" spans="2:10" ht="17.25" customHeight="1" x14ac:dyDescent="0.15">
      <c r="B111" s="436" t="s">
        <v>370</v>
      </c>
      <c r="C111" s="436"/>
      <c r="D111" s="436"/>
      <c r="E111" s="82" t="s">
        <v>362</v>
      </c>
      <c r="F111" s="83">
        <v>2.2999999999999998</v>
      </c>
      <c r="G111" s="82" t="s">
        <v>363</v>
      </c>
      <c r="H111" s="83">
        <v>2.1</v>
      </c>
      <c r="I111" s="82" t="s">
        <v>364</v>
      </c>
      <c r="J111" s="83">
        <v>2</v>
      </c>
    </row>
    <row r="112" spans="2:10" ht="17.25" customHeight="1" x14ac:dyDescent="0.15">
      <c r="B112" s="436"/>
      <c r="C112" s="436"/>
      <c r="D112" s="436"/>
      <c r="E112" s="80" t="s">
        <v>365</v>
      </c>
      <c r="F112" s="81">
        <v>1.9</v>
      </c>
      <c r="G112" s="80" t="s">
        <v>366</v>
      </c>
      <c r="H112" s="81">
        <v>1.8</v>
      </c>
      <c r="I112" s="80" t="s">
        <v>367</v>
      </c>
      <c r="J112" s="81">
        <v>1.8</v>
      </c>
    </row>
    <row r="113" spans="2:10" ht="17.25" customHeight="1" x14ac:dyDescent="0.15">
      <c r="B113" s="436" t="s">
        <v>371</v>
      </c>
      <c r="C113" s="436"/>
      <c r="D113" s="436"/>
      <c r="E113" s="82" t="s">
        <v>362</v>
      </c>
      <c r="F113" s="84">
        <v>2.2000000000000002</v>
      </c>
      <c r="G113" s="82" t="s">
        <v>363</v>
      </c>
      <c r="H113" s="84">
        <v>1.9</v>
      </c>
      <c r="I113" s="82" t="s">
        <v>364</v>
      </c>
      <c r="J113" s="84">
        <v>1.7</v>
      </c>
    </row>
    <row r="114" spans="2:10" ht="17.25" customHeight="1" x14ac:dyDescent="0.15">
      <c r="B114" s="436"/>
      <c r="C114" s="436"/>
      <c r="D114" s="436"/>
      <c r="E114" s="80" t="s">
        <v>365</v>
      </c>
      <c r="F114" s="85">
        <v>1.6</v>
      </c>
      <c r="G114" s="80" t="s">
        <v>366</v>
      </c>
      <c r="H114" s="85">
        <v>1.4</v>
      </c>
      <c r="I114" s="80" t="s">
        <v>367</v>
      </c>
      <c r="J114" s="85">
        <v>1.4</v>
      </c>
    </row>
    <row r="115" spans="2:10" ht="17.25" customHeight="1" x14ac:dyDescent="0.15">
      <c r="B115" s="436" t="s">
        <v>372</v>
      </c>
      <c r="C115" s="436"/>
      <c r="D115" s="436"/>
      <c r="E115" s="82" t="s">
        <v>362</v>
      </c>
      <c r="F115" s="83">
        <v>2.6</v>
      </c>
      <c r="G115" s="82" t="s">
        <v>363</v>
      </c>
      <c r="H115" s="83">
        <v>2.2999999999999998</v>
      </c>
      <c r="I115" s="82" t="s">
        <v>364</v>
      </c>
      <c r="J115" s="83">
        <v>2</v>
      </c>
    </row>
    <row r="116" spans="2:10" ht="17.25" customHeight="1" x14ac:dyDescent="0.15">
      <c r="B116" s="436"/>
      <c r="C116" s="436"/>
      <c r="D116" s="436"/>
      <c r="E116" s="80" t="s">
        <v>365</v>
      </c>
      <c r="F116" s="81">
        <v>1.8</v>
      </c>
      <c r="G116" s="80" t="s">
        <v>366</v>
      </c>
      <c r="H116" s="81">
        <v>1.7</v>
      </c>
      <c r="I116" s="80" t="s">
        <v>367</v>
      </c>
      <c r="J116" s="81">
        <v>1.6</v>
      </c>
    </row>
    <row r="117" spans="2:10" ht="17.25" customHeight="1" x14ac:dyDescent="0.15">
      <c r="B117" s="436" t="s">
        <v>373</v>
      </c>
      <c r="C117" s="436"/>
      <c r="D117" s="436"/>
      <c r="E117" s="82" t="s">
        <v>362</v>
      </c>
      <c r="F117" s="84">
        <v>3.3</v>
      </c>
      <c r="G117" s="82" t="s">
        <v>363</v>
      </c>
      <c r="H117" s="84">
        <v>3.1</v>
      </c>
      <c r="I117" s="82" t="s">
        <v>364</v>
      </c>
      <c r="J117" s="84">
        <v>3</v>
      </c>
    </row>
    <row r="118" spans="2:10" ht="17.25" customHeight="1" x14ac:dyDescent="0.15">
      <c r="B118" s="436"/>
      <c r="C118" s="436"/>
      <c r="D118" s="436"/>
      <c r="E118" s="80" t="s">
        <v>365</v>
      </c>
      <c r="F118" s="85">
        <v>2.9</v>
      </c>
      <c r="G118" s="80" t="s">
        <v>366</v>
      </c>
      <c r="H118" s="85">
        <v>2.8</v>
      </c>
      <c r="I118" s="80" t="s">
        <v>367</v>
      </c>
      <c r="J118" s="85">
        <v>2.8</v>
      </c>
    </row>
    <row r="119" spans="2:10" ht="8.25" customHeight="1" x14ac:dyDescent="0.15"/>
    <row r="120" spans="2:10" x14ac:dyDescent="0.15">
      <c r="B120" s="8" t="s">
        <v>437</v>
      </c>
    </row>
    <row r="121" spans="2:10" x14ac:dyDescent="0.15">
      <c r="B121" s="425" t="s">
        <v>269</v>
      </c>
      <c r="C121" s="425"/>
      <c r="D121" s="425"/>
      <c r="E121" s="425"/>
      <c r="F121" s="425"/>
      <c r="G121" s="425"/>
      <c r="H121" s="425" t="s">
        <v>295</v>
      </c>
      <c r="I121" s="425"/>
      <c r="J121" s="425"/>
    </row>
    <row r="122" spans="2:10" ht="30" x14ac:dyDescent="0.15">
      <c r="B122" s="425"/>
      <c r="C122" s="425"/>
      <c r="D122" s="425"/>
      <c r="E122" s="425"/>
      <c r="F122" s="425"/>
      <c r="G122" s="425"/>
      <c r="H122" s="10" t="s">
        <v>296</v>
      </c>
      <c r="I122" s="26" t="s">
        <v>297</v>
      </c>
      <c r="J122" s="10" t="s">
        <v>298</v>
      </c>
    </row>
    <row r="123" spans="2:10" ht="18" customHeight="1" x14ac:dyDescent="0.15">
      <c r="B123" s="436" t="s">
        <v>292</v>
      </c>
      <c r="C123" s="466" t="s">
        <v>270</v>
      </c>
      <c r="D123" s="466"/>
      <c r="E123" s="466"/>
      <c r="F123" s="465" t="s">
        <v>293</v>
      </c>
      <c r="G123" s="465"/>
      <c r="H123" s="66">
        <v>0.39</v>
      </c>
      <c r="I123" s="66">
        <v>0.24</v>
      </c>
      <c r="J123" s="66">
        <v>0.09</v>
      </c>
    </row>
    <row r="124" spans="2:10" ht="18" customHeight="1" x14ac:dyDescent="0.15">
      <c r="B124" s="436"/>
      <c r="C124" s="466"/>
      <c r="D124" s="466"/>
      <c r="E124" s="466"/>
      <c r="F124" s="465" t="s">
        <v>294</v>
      </c>
      <c r="G124" s="465"/>
      <c r="H124" s="74">
        <v>0.24</v>
      </c>
      <c r="I124" s="74">
        <v>0.16</v>
      </c>
      <c r="J124" s="74">
        <v>0.06</v>
      </c>
    </row>
    <row r="125" spans="2:10" ht="18" customHeight="1" x14ac:dyDescent="0.15">
      <c r="B125" s="436"/>
      <c r="C125" s="466" t="s">
        <v>271</v>
      </c>
      <c r="D125" s="466"/>
      <c r="E125" s="466"/>
      <c r="F125" s="465" t="s">
        <v>293</v>
      </c>
      <c r="G125" s="465"/>
      <c r="H125" s="66">
        <v>0.42</v>
      </c>
      <c r="I125" s="66">
        <v>0.27</v>
      </c>
      <c r="J125" s="66">
        <v>0.1</v>
      </c>
    </row>
    <row r="126" spans="2:10" ht="18" customHeight="1" x14ac:dyDescent="0.15">
      <c r="B126" s="436"/>
      <c r="C126" s="466"/>
      <c r="D126" s="466"/>
      <c r="E126" s="466"/>
      <c r="F126" s="465" t="s">
        <v>294</v>
      </c>
      <c r="G126" s="465"/>
      <c r="H126" s="74">
        <v>0.27</v>
      </c>
      <c r="I126" s="74">
        <v>0.18</v>
      </c>
      <c r="J126" s="74">
        <v>7.0000000000000007E-2</v>
      </c>
    </row>
    <row r="127" spans="2:10" ht="18" customHeight="1" x14ac:dyDescent="0.15">
      <c r="B127" s="436"/>
      <c r="C127" s="436" t="s">
        <v>299</v>
      </c>
      <c r="D127" s="436"/>
      <c r="E127" s="436"/>
      <c r="F127" s="463"/>
      <c r="G127" s="464"/>
      <c r="H127" s="66">
        <v>0.52</v>
      </c>
      <c r="I127" s="66">
        <v>0.27</v>
      </c>
      <c r="J127" s="66">
        <v>0.13</v>
      </c>
    </row>
    <row r="128" spans="2:10" ht="18" customHeight="1" x14ac:dyDescent="0.15">
      <c r="B128" s="472" t="s">
        <v>303</v>
      </c>
      <c r="C128" s="436" t="s">
        <v>300</v>
      </c>
      <c r="D128" s="436"/>
      <c r="E128" s="436"/>
      <c r="F128" s="465" t="s">
        <v>293</v>
      </c>
      <c r="G128" s="465"/>
      <c r="H128" s="74">
        <v>0.46</v>
      </c>
      <c r="I128" s="74">
        <v>0.27</v>
      </c>
      <c r="J128" s="74">
        <v>0.11</v>
      </c>
    </row>
    <row r="129" spans="2:10" ht="18" customHeight="1" x14ac:dyDescent="0.15">
      <c r="B129" s="473"/>
      <c r="C129" s="436"/>
      <c r="D129" s="436"/>
      <c r="E129" s="436"/>
      <c r="F129" s="465" t="s">
        <v>294</v>
      </c>
      <c r="G129" s="465"/>
      <c r="H129" s="66">
        <v>0.28999999999999998</v>
      </c>
      <c r="I129" s="66">
        <v>0.19</v>
      </c>
      <c r="J129" s="66">
        <v>0.08</v>
      </c>
    </row>
    <row r="130" spans="2:10" ht="18" customHeight="1" x14ac:dyDescent="0.15">
      <c r="B130" s="473"/>
      <c r="C130" s="436" t="s">
        <v>301</v>
      </c>
      <c r="D130" s="436"/>
      <c r="E130" s="436"/>
      <c r="F130" s="463"/>
      <c r="G130" s="464"/>
      <c r="H130" s="74">
        <v>0.56999999999999995</v>
      </c>
      <c r="I130" s="74">
        <v>0.27</v>
      </c>
      <c r="J130" s="74">
        <v>0.12</v>
      </c>
    </row>
    <row r="131" spans="2:10" ht="18" customHeight="1" x14ac:dyDescent="0.15">
      <c r="B131" s="474"/>
      <c r="C131" s="436" t="s">
        <v>302</v>
      </c>
      <c r="D131" s="436"/>
      <c r="E131" s="436"/>
      <c r="F131" s="463"/>
      <c r="G131" s="464"/>
      <c r="H131" s="66">
        <v>0.56999999999999995</v>
      </c>
      <c r="I131" s="66">
        <v>0.27</v>
      </c>
      <c r="J131" s="66">
        <v>0.12</v>
      </c>
    </row>
    <row r="132" spans="2:10" ht="10.5" customHeight="1" x14ac:dyDescent="0.15"/>
    <row r="133" spans="2:10" x14ac:dyDescent="0.15">
      <c r="B133" s="8" t="s">
        <v>438</v>
      </c>
    </row>
    <row r="134" spans="2:10" x14ac:dyDescent="0.15">
      <c r="B134" s="425" t="s">
        <v>269</v>
      </c>
      <c r="C134" s="425"/>
      <c r="D134" s="425"/>
      <c r="E134" s="425"/>
      <c r="F134" s="425"/>
      <c r="G134" s="425"/>
      <c r="H134" s="425" t="s">
        <v>295</v>
      </c>
      <c r="I134" s="425"/>
      <c r="J134" s="425"/>
    </row>
    <row r="135" spans="2:10" ht="30" x14ac:dyDescent="0.15">
      <c r="B135" s="425"/>
      <c r="C135" s="425"/>
      <c r="D135" s="425"/>
      <c r="E135" s="425"/>
      <c r="F135" s="425"/>
      <c r="G135" s="425"/>
      <c r="H135" s="10" t="s">
        <v>296</v>
      </c>
      <c r="I135" s="26" t="s">
        <v>297</v>
      </c>
      <c r="J135" s="10" t="s">
        <v>298</v>
      </c>
    </row>
    <row r="136" spans="2:10" ht="18" customHeight="1" x14ac:dyDescent="0.15">
      <c r="B136" s="436" t="s">
        <v>292</v>
      </c>
      <c r="C136" s="466" t="s">
        <v>270</v>
      </c>
      <c r="D136" s="466"/>
      <c r="E136" s="466"/>
      <c r="F136" s="465" t="s">
        <v>293</v>
      </c>
      <c r="G136" s="465"/>
      <c r="H136" s="66">
        <v>0.43</v>
      </c>
      <c r="I136" s="66">
        <v>0.27</v>
      </c>
      <c r="J136" s="66">
        <v>0.1</v>
      </c>
    </row>
    <row r="137" spans="2:10" ht="18" customHeight="1" x14ac:dyDescent="0.15">
      <c r="B137" s="436"/>
      <c r="C137" s="466"/>
      <c r="D137" s="466"/>
      <c r="E137" s="466"/>
      <c r="F137" s="465" t="s">
        <v>294</v>
      </c>
      <c r="G137" s="465"/>
      <c r="H137" s="74">
        <v>0.26</v>
      </c>
      <c r="I137" s="74">
        <v>0.18</v>
      </c>
      <c r="J137" s="74">
        <v>0.06</v>
      </c>
    </row>
    <row r="138" spans="2:10" ht="18" customHeight="1" x14ac:dyDescent="0.15">
      <c r="B138" s="436"/>
      <c r="C138" s="466" t="s">
        <v>271</v>
      </c>
      <c r="D138" s="466"/>
      <c r="E138" s="466"/>
      <c r="F138" s="465" t="s">
        <v>293</v>
      </c>
      <c r="G138" s="465"/>
      <c r="H138" s="66">
        <v>0.47</v>
      </c>
      <c r="I138" s="66">
        <v>0.3</v>
      </c>
      <c r="J138" s="66">
        <v>0.11</v>
      </c>
    </row>
    <row r="139" spans="2:10" ht="18" customHeight="1" x14ac:dyDescent="0.15">
      <c r="B139" s="436"/>
      <c r="C139" s="466"/>
      <c r="D139" s="466"/>
      <c r="E139" s="466"/>
      <c r="F139" s="465" t="s">
        <v>294</v>
      </c>
      <c r="G139" s="465"/>
      <c r="H139" s="74">
        <v>0.3</v>
      </c>
      <c r="I139" s="74">
        <v>0.2</v>
      </c>
      <c r="J139" s="74">
        <v>0.08</v>
      </c>
    </row>
    <row r="140" spans="2:10" ht="18" customHeight="1" x14ac:dyDescent="0.15">
      <c r="B140" s="436"/>
      <c r="C140" s="436" t="s">
        <v>299</v>
      </c>
      <c r="D140" s="436"/>
      <c r="E140" s="436"/>
      <c r="F140" s="463"/>
      <c r="G140" s="464"/>
      <c r="H140" s="66">
        <v>0.57999999999999996</v>
      </c>
      <c r="I140" s="66">
        <v>0.3</v>
      </c>
      <c r="J140" s="66">
        <v>0.14000000000000001</v>
      </c>
    </row>
    <row r="141" spans="2:10" ht="18" customHeight="1" x14ac:dyDescent="0.15">
      <c r="B141" s="472" t="s">
        <v>303</v>
      </c>
      <c r="C141" s="436" t="s">
        <v>300</v>
      </c>
      <c r="D141" s="436"/>
      <c r="E141" s="436"/>
      <c r="F141" s="465" t="s">
        <v>293</v>
      </c>
      <c r="G141" s="465"/>
      <c r="H141" s="74">
        <v>0.51</v>
      </c>
      <c r="I141" s="74">
        <v>0.3</v>
      </c>
      <c r="J141" s="74">
        <v>0.12</v>
      </c>
    </row>
    <row r="142" spans="2:10" ht="18" customHeight="1" x14ac:dyDescent="0.15">
      <c r="B142" s="473"/>
      <c r="C142" s="436"/>
      <c r="D142" s="436"/>
      <c r="E142" s="436"/>
      <c r="F142" s="465" t="s">
        <v>294</v>
      </c>
      <c r="G142" s="465"/>
      <c r="H142" s="66">
        <v>0.32</v>
      </c>
      <c r="I142" s="66">
        <v>0.21</v>
      </c>
      <c r="J142" s="66">
        <v>0.09</v>
      </c>
    </row>
    <row r="143" spans="2:10" ht="18" customHeight="1" x14ac:dyDescent="0.15">
      <c r="B143" s="473"/>
      <c r="C143" s="436" t="s">
        <v>301</v>
      </c>
      <c r="D143" s="436"/>
      <c r="E143" s="436"/>
      <c r="F143" s="463"/>
      <c r="G143" s="464"/>
      <c r="H143" s="74">
        <v>0.63</v>
      </c>
      <c r="I143" s="74">
        <v>0.3</v>
      </c>
      <c r="J143" s="74">
        <v>0.14000000000000001</v>
      </c>
    </row>
    <row r="144" spans="2:10" ht="18" customHeight="1" x14ac:dyDescent="0.15">
      <c r="B144" s="474"/>
      <c r="C144" s="436" t="s">
        <v>302</v>
      </c>
      <c r="D144" s="436"/>
      <c r="E144" s="436"/>
      <c r="F144" s="463"/>
      <c r="G144" s="464"/>
      <c r="H144" s="66">
        <v>0.63</v>
      </c>
      <c r="I144" s="66">
        <v>0.3</v>
      </c>
      <c r="J144" s="66">
        <v>0.14000000000000001</v>
      </c>
    </row>
    <row r="145" spans="2:11" ht="9.75" customHeight="1" x14ac:dyDescent="0.15"/>
    <row r="146" spans="2:11" x14ac:dyDescent="0.15">
      <c r="B146" s="11" t="s">
        <v>254</v>
      </c>
      <c r="C146" s="11"/>
      <c r="D146" s="11"/>
      <c r="E146" s="11"/>
      <c r="F146" s="11"/>
      <c r="G146" s="11"/>
      <c r="H146" s="11"/>
      <c r="I146" s="11"/>
      <c r="J146" s="11"/>
      <c r="K146" s="11"/>
    </row>
    <row r="147" spans="2:11" ht="39" customHeight="1" x14ac:dyDescent="0.15">
      <c r="B147" s="470" t="s">
        <v>304</v>
      </c>
      <c r="C147" s="470"/>
      <c r="D147" s="470"/>
      <c r="E147" s="470"/>
      <c r="F147" s="470"/>
      <c r="G147" s="470"/>
      <c r="H147" s="470"/>
      <c r="I147" s="470"/>
      <c r="J147" s="470"/>
      <c r="K147" s="470"/>
    </row>
  </sheetData>
  <sheetProtection algorithmName="SHA-512" hashValue="+NdY5poOIZ6ImQa6tNKVKATz6Uby/THOFZgzxpmb9d4OfAibEzbRQ5voep2DBc9KM5h6Jy3Q5hrJTaZXeOSTNQ==" saltValue="XxTKzpvJYp3CgWnxGDTWGg==" spinCount="100000" sheet="1" objects="1" scenarios="1"/>
  <mergeCells count="239">
    <mergeCell ref="B78:J78"/>
    <mergeCell ref="B128:B131"/>
    <mergeCell ref="B141:B144"/>
    <mergeCell ref="B107:D108"/>
    <mergeCell ref="B109:D110"/>
    <mergeCell ref="B111:D112"/>
    <mergeCell ref="B113:D114"/>
    <mergeCell ref="B115:D116"/>
    <mergeCell ref="B117:D118"/>
    <mergeCell ref="G91:J91"/>
    <mergeCell ref="G92:J92"/>
    <mergeCell ref="G93:J93"/>
    <mergeCell ref="G94:J94"/>
    <mergeCell ref="G95:J95"/>
    <mergeCell ref="G96:J96"/>
    <mergeCell ref="B102:D102"/>
    <mergeCell ref="B103:D104"/>
    <mergeCell ref="B105:D106"/>
    <mergeCell ref="E90:F90"/>
    <mergeCell ref="B90:D90"/>
    <mergeCell ref="B91:D92"/>
    <mergeCell ref="B93:D93"/>
    <mergeCell ref="B94:D94"/>
    <mergeCell ref="B95:D96"/>
    <mergeCell ref="E91:F91"/>
    <mergeCell ref="E92:F92"/>
    <mergeCell ref="E93:F93"/>
    <mergeCell ref="E94:F94"/>
    <mergeCell ref="E95:F95"/>
    <mergeCell ref="E96:F96"/>
    <mergeCell ref="G90:J90"/>
    <mergeCell ref="B147:K147"/>
    <mergeCell ref="C141:E142"/>
    <mergeCell ref="F141:G141"/>
    <mergeCell ref="F142:G142"/>
    <mergeCell ref="C143:E143"/>
    <mergeCell ref="F143:G143"/>
    <mergeCell ref="C144:E144"/>
    <mergeCell ref="F144:G144"/>
    <mergeCell ref="B134:G135"/>
    <mergeCell ref="H134:J134"/>
    <mergeCell ref="B136:B140"/>
    <mergeCell ref="C136:E137"/>
    <mergeCell ref="F136:G136"/>
    <mergeCell ref="F137:G137"/>
    <mergeCell ref="C138:E139"/>
    <mergeCell ref="F138:G138"/>
    <mergeCell ref="F139:G139"/>
    <mergeCell ref="C140:E140"/>
    <mergeCell ref="F140:G140"/>
    <mergeCell ref="C130:E130"/>
    <mergeCell ref="C131:E131"/>
    <mergeCell ref="B123:B127"/>
    <mergeCell ref="B121:G122"/>
    <mergeCell ref="H121:J121"/>
    <mergeCell ref="F127:G127"/>
    <mergeCell ref="F130:G130"/>
    <mergeCell ref="F131:G131"/>
    <mergeCell ref="F124:G124"/>
    <mergeCell ref="F125:G125"/>
    <mergeCell ref="F126:G126"/>
    <mergeCell ref="F128:G128"/>
    <mergeCell ref="F129:G129"/>
    <mergeCell ref="C123:E124"/>
    <mergeCell ref="C125:E126"/>
    <mergeCell ref="C127:E127"/>
    <mergeCell ref="C128:E129"/>
    <mergeCell ref="F123:G123"/>
    <mergeCell ref="C55:C56"/>
    <mergeCell ref="D55:D56"/>
    <mergeCell ref="E56:F56"/>
    <mergeCell ref="C69:F69"/>
    <mergeCell ref="G68:J68"/>
    <mergeCell ref="G56:I56"/>
    <mergeCell ref="E55:I55"/>
    <mergeCell ref="H57:I57"/>
    <mergeCell ref="H58:I58"/>
    <mergeCell ref="I66:J66"/>
    <mergeCell ref="E57:F57"/>
    <mergeCell ref="E58:F58"/>
    <mergeCell ref="E59:F59"/>
    <mergeCell ref="E60:F60"/>
    <mergeCell ref="G63:J63"/>
    <mergeCell ref="G64:H64"/>
    <mergeCell ref="I64:J64"/>
    <mergeCell ref="B63:F64"/>
    <mergeCell ref="I67:J67"/>
    <mergeCell ref="G36:J36"/>
    <mergeCell ref="G37:J37"/>
    <mergeCell ref="G42:J42"/>
    <mergeCell ref="G43:J43"/>
    <mergeCell ref="F46:F47"/>
    <mergeCell ref="F48:F49"/>
    <mergeCell ref="G45:J45"/>
    <mergeCell ref="G46:J46"/>
    <mergeCell ref="G47:J47"/>
    <mergeCell ref="G48:J48"/>
    <mergeCell ref="F31:F40"/>
    <mergeCell ref="G44:J44"/>
    <mergeCell ref="F41:F45"/>
    <mergeCell ref="G34:J34"/>
    <mergeCell ref="G38:J38"/>
    <mergeCell ref="G39:J39"/>
    <mergeCell ref="G40:J40"/>
    <mergeCell ref="G41:J41"/>
    <mergeCell ref="G31:J31"/>
    <mergeCell ref="G33:J33"/>
    <mergeCell ref="G32:J32"/>
    <mergeCell ref="G49:J49"/>
    <mergeCell ref="G35:J35"/>
    <mergeCell ref="G9:J9"/>
    <mergeCell ref="G23:J23"/>
    <mergeCell ref="C17:D17"/>
    <mergeCell ref="K29:K30"/>
    <mergeCell ref="C25:D25"/>
    <mergeCell ref="C26:D26"/>
    <mergeCell ref="C19:D19"/>
    <mergeCell ref="C22:D22"/>
    <mergeCell ref="G24:J24"/>
    <mergeCell ref="C24:D24"/>
    <mergeCell ref="F12:F23"/>
    <mergeCell ref="G17:J17"/>
    <mergeCell ref="G22:J22"/>
    <mergeCell ref="C16:D16"/>
    <mergeCell ref="C27:D27"/>
    <mergeCell ref="C28:D28"/>
    <mergeCell ref="C29:D29"/>
    <mergeCell ref="G26:J26"/>
    <mergeCell ref="G27:J27"/>
    <mergeCell ref="G28:J28"/>
    <mergeCell ref="G29:J30"/>
    <mergeCell ref="C30:D30"/>
    <mergeCell ref="F24:F28"/>
    <mergeCell ref="F29:F30"/>
    <mergeCell ref="A1:J1"/>
    <mergeCell ref="G10:J10"/>
    <mergeCell ref="G11:J11"/>
    <mergeCell ref="G14:J14"/>
    <mergeCell ref="C8:D8"/>
    <mergeCell ref="G15:J15"/>
    <mergeCell ref="B9:B10"/>
    <mergeCell ref="C9:D9"/>
    <mergeCell ref="C10:D10"/>
    <mergeCell ref="C4:D4"/>
    <mergeCell ref="G4:J4"/>
    <mergeCell ref="B5:B8"/>
    <mergeCell ref="C5:D5"/>
    <mergeCell ref="G12:J12"/>
    <mergeCell ref="C6:D6"/>
    <mergeCell ref="G13:J13"/>
    <mergeCell ref="C7:D7"/>
    <mergeCell ref="C15:D15"/>
    <mergeCell ref="G6:J6"/>
    <mergeCell ref="G7:J7"/>
    <mergeCell ref="B11:B18"/>
    <mergeCell ref="F5:F11"/>
    <mergeCell ref="G5:J5"/>
    <mergeCell ref="G8:J8"/>
    <mergeCell ref="I71:J71"/>
    <mergeCell ref="I70:J70"/>
    <mergeCell ref="I69:J69"/>
    <mergeCell ref="B19:B32"/>
    <mergeCell ref="B33:B43"/>
    <mergeCell ref="B44:B48"/>
    <mergeCell ref="C39:D39"/>
    <mergeCell ref="C40:D40"/>
    <mergeCell ref="C42:D42"/>
    <mergeCell ref="C43:D43"/>
    <mergeCell ref="C45:D45"/>
    <mergeCell ref="C46:D46"/>
    <mergeCell ref="C47:D47"/>
    <mergeCell ref="C33:D33"/>
    <mergeCell ref="C34:D34"/>
    <mergeCell ref="C35:D35"/>
    <mergeCell ref="C36:D36"/>
    <mergeCell ref="C37:D37"/>
    <mergeCell ref="C41:D41"/>
    <mergeCell ref="C38:D38"/>
    <mergeCell ref="C44:D44"/>
    <mergeCell ref="C48:D48"/>
    <mergeCell ref="C31:D31"/>
    <mergeCell ref="C32:D32"/>
    <mergeCell ref="D70:F70"/>
    <mergeCell ref="C66:C68"/>
    <mergeCell ref="B65:B70"/>
    <mergeCell ref="G65:H65"/>
    <mergeCell ref="G66:H66"/>
    <mergeCell ref="G67:H67"/>
    <mergeCell ref="G69:H69"/>
    <mergeCell ref="G70:H70"/>
    <mergeCell ref="G71:H71"/>
    <mergeCell ref="G76:H76"/>
    <mergeCell ref="I76:J76"/>
    <mergeCell ref="C11:D11"/>
    <mergeCell ref="G18:J18"/>
    <mergeCell ref="C12:D12"/>
    <mergeCell ref="G19:J19"/>
    <mergeCell ref="C13:D13"/>
    <mergeCell ref="G20:J20"/>
    <mergeCell ref="C14:D14"/>
    <mergeCell ref="G21:J21"/>
    <mergeCell ref="C20:D20"/>
    <mergeCell ref="C21:D21"/>
    <mergeCell ref="G16:J16"/>
    <mergeCell ref="C71:F71"/>
    <mergeCell ref="H59:I59"/>
    <mergeCell ref="H60:I60"/>
    <mergeCell ref="B74:F75"/>
    <mergeCell ref="G74:J74"/>
    <mergeCell ref="G75:H75"/>
    <mergeCell ref="I75:J75"/>
    <mergeCell ref="D65:F65"/>
    <mergeCell ref="D66:F66"/>
    <mergeCell ref="D67:F67"/>
    <mergeCell ref="D68:F68"/>
    <mergeCell ref="G87:H87"/>
    <mergeCell ref="I87:J87"/>
    <mergeCell ref="B87:F87"/>
    <mergeCell ref="B50:K51"/>
    <mergeCell ref="B52:K52"/>
    <mergeCell ref="C18:D18"/>
    <mergeCell ref="G25:J25"/>
    <mergeCell ref="C23:D23"/>
    <mergeCell ref="I65:J65"/>
    <mergeCell ref="C76:F76"/>
    <mergeCell ref="B85:F86"/>
    <mergeCell ref="G85:J85"/>
    <mergeCell ref="G86:H86"/>
    <mergeCell ref="I86:J86"/>
    <mergeCell ref="B80:F81"/>
    <mergeCell ref="G80:J80"/>
    <mergeCell ref="G81:H81"/>
    <mergeCell ref="I81:J81"/>
    <mergeCell ref="G82:H82"/>
    <mergeCell ref="I82:J82"/>
    <mergeCell ref="B82:F82"/>
    <mergeCell ref="C77:F77"/>
    <mergeCell ref="G77:H77"/>
    <mergeCell ref="I77:J77"/>
  </mergeCells>
  <phoneticPr fontId="2"/>
  <pageMargins left="0.31496062992125984" right="0.31496062992125984" top="0.43307086614173229" bottom="0.43307086614173229" header="0.23622047244094491" footer="0.23622047244094491"/>
  <pageSetup paperSize="9" orientation="portrait" r:id="rId1"/>
  <headerFooter>
    <oddHeader>&amp;R&amp;"メイリオ,レギュラー"&amp;10&amp;K00B050HOUSE OF THE YEAR 2025</oddHeader>
    <oddFooter>&amp;C&amp;"メイリオ,レギュラー"&amp;9資料②-&amp;A-&amp;P</oddFooter>
  </headerFooter>
  <rowBreaks count="1" manualBreakCount="1">
    <brk id="53"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A1:K21"/>
  <sheetViews>
    <sheetView workbookViewId="0">
      <selection activeCell="I20" sqref="I20"/>
    </sheetView>
  </sheetViews>
  <sheetFormatPr defaultRowHeight="13.5" x14ac:dyDescent="0.15"/>
  <cols>
    <col min="1" max="1" width="16.5" customWidth="1"/>
  </cols>
  <sheetData>
    <row r="1" spans="1:11" x14ac:dyDescent="0.15">
      <c r="A1" t="s">
        <v>67</v>
      </c>
      <c r="B1">
        <v>0</v>
      </c>
      <c r="C1" t="s">
        <v>218</v>
      </c>
      <c r="D1" t="s">
        <v>219</v>
      </c>
      <c r="E1" t="s">
        <v>220</v>
      </c>
      <c r="F1" t="s">
        <v>221</v>
      </c>
      <c r="G1" t="s">
        <v>222</v>
      </c>
      <c r="H1" t="s">
        <v>223</v>
      </c>
      <c r="I1" t="s">
        <v>224</v>
      </c>
      <c r="J1" t="s">
        <v>225</v>
      </c>
      <c r="K1" t="s">
        <v>68</v>
      </c>
    </row>
    <row r="2" spans="1:11" x14ac:dyDescent="0.15">
      <c r="A2" t="s">
        <v>71</v>
      </c>
      <c r="B2">
        <v>1</v>
      </c>
      <c r="C2" s="92">
        <v>0.26</v>
      </c>
      <c r="D2" s="92">
        <v>0.26300000000000001</v>
      </c>
      <c r="E2" s="92">
        <v>0.28399999999999997</v>
      </c>
      <c r="F2" s="92">
        <v>0.25600000000000001</v>
      </c>
      <c r="G2" s="92">
        <v>0.23799999999999999</v>
      </c>
      <c r="H2" s="92">
        <v>0.26100000000000001</v>
      </c>
      <c r="I2" s="92">
        <v>0.22700000000000001</v>
      </c>
      <c r="J2">
        <v>0</v>
      </c>
    </row>
    <row r="3" spans="1:11" x14ac:dyDescent="0.15">
      <c r="A3" t="s">
        <v>72</v>
      </c>
      <c r="B3">
        <v>1</v>
      </c>
      <c r="C3" s="92">
        <v>0.33300000000000002</v>
      </c>
      <c r="D3" s="92">
        <v>0.34100000000000003</v>
      </c>
      <c r="E3" s="92">
        <v>0.34799999999999998</v>
      </c>
      <c r="F3" s="92">
        <v>0.33</v>
      </c>
      <c r="G3" s="92">
        <v>0.31</v>
      </c>
      <c r="H3" s="92">
        <v>0.32500000000000001</v>
      </c>
      <c r="I3" s="92">
        <v>0.28100000000000003</v>
      </c>
      <c r="J3">
        <v>0</v>
      </c>
    </row>
    <row r="4" spans="1:11" x14ac:dyDescent="0.15">
      <c r="A4" t="s">
        <v>73</v>
      </c>
      <c r="B4">
        <v>1</v>
      </c>
      <c r="C4" s="92">
        <v>0.56399999999999995</v>
      </c>
      <c r="D4" s="92">
        <v>0.55400000000000005</v>
      </c>
      <c r="E4" s="92">
        <v>0.54</v>
      </c>
      <c r="F4" s="92">
        <v>0.53100000000000003</v>
      </c>
      <c r="G4" s="92">
        <v>0.56799999999999995</v>
      </c>
      <c r="H4" s="92">
        <v>0.57899999999999996</v>
      </c>
      <c r="I4" s="92">
        <v>0.54300000000000004</v>
      </c>
      <c r="J4">
        <v>0</v>
      </c>
    </row>
    <row r="5" spans="1:11" x14ac:dyDescent="0.15">
      <c r="A5" t="s">
        <v>74</v>
      </c>
      <c r="B5">
        <v>1</v>
      </c>
      <c r="C5" s="92">
        <v>0.82299999999999995</v>
      </c>
      <c r="D5" s="92">
        <v>0.76600000000000001</v>
      </c>
      <c r="E5" s="92">
        <v>0.751</v>
      </c>
      <c r="F5" s="92">
        <v>0.72399999999999998</v>
      </c>
      <c r="G5" s="92">
        <v>0.84599999999999997</v>
      </c>
      <c r="H5" s="92">
        <v>0.83299999999999996</v>
      </c>
      <c r="I5" s="92">
        <v>0.84299999999999997</v>
      </c>
      <c r="J5">
        <v>0</v>
      </c>
    </row>
    <row r="6" spans="1:11" x14ac:dyDescent="0.15">
      <c r="A6" t="s">
        <v>75</v>
      </c>
      <c r="B6">
        <v>1</v>
      </c>
      <c r="C6" s="92">
        <v>0.93500000000000005</v>
      </c>
      <c r="D6" s="92">
        <v>0.85599999999999998</v>
      </c>
      <c r="E6" s="92">
        <v>0.85099999999999998</v>
      </c>
      <c r="F6" s="92">
        <v>0.81499999999999995</v>
      </c>
      <c r="G6" s="92">
        <v>0.98299999999999998</v>
      </c>
      <c r="H6" s="92">
        <v>0.93600000000000005</v>
      </c>
      <c r="I6" s="92">
        <v>1.0229999999999999</v>
      </c>
      <c r="J6">
        <v>0</v>
      </c>
    </row>
    <row r="7" spans="1:11" x14ac:dyDescent="0.15">
      <c r="A7" t="s">
        <v>76</v>
      </c>
      <c r="B7">
        <v>1</v>
      </c>
      <c r="C7" s="92">
        <v>0.79</v>
      </c>
      <c r="D7" s="92">
        <v>0.753</v>
      </c>
      <c r="E7" s="92">
        <v>0.75</v>
      </c>
      <c r="F7" s="92">
        <v>0.72299999999999998</v>
      </c>
      <c r="G7" s="92">
        <v>0.81499999999999995</v>
      </c>
      <c r="H7" s="92">
        <v>0.76300000000000001</v>
      </c>
      <c r="I7" s="92">
        <v>0.84799999999999998</v>
      </c>
      <c r="J7">
        <v>0</v>
      </c>
    </row>
    <row r="8" spans="1:11" x14ac:dyDescent="0.15">
      <c r="A8" t="s">
        <v>78</v>
      </c>
      <c r="B8">
        <v>1</v>
      </c>
      <c r="C8" s="92">
        <v>0.53500000000000003</v>
      </c>
      <c r="D8" s="92">
        <v>0.54400000000000004</v>
      </c>
      <c r="E8" s="92">
        <v>0.54200000000000004</v>
      </c>
      <c r="F8" s="92">
        <v>0.52700000000000002</v>
      </c>
      <c r="G8" s="92">
        <v>0.53800000000000003</v>
      </c>
      <c r="H8" s="92">
        <v>0.52300000000000002</v>
      </c>
      <c r="I8" s="92">
        <v>0.54800000000000004</v>
      </c>
      <c r="J8">
        <v>0</v>
      </c>
    </row>
    <row r="9" spans="1:11" x14ac:dyDescent="0.15">
      <c r="A9" t="s">
        <v>77</v>
      </c>
      <c r="B9">
        <v>1</v>
      </c>
      <c r="C9" s="92">
        <v>0.32500000000000001</v>
      </c>
      <c r="D9" s="92">
        <v>0.34100000000000003</v>
      </c>
      <c r="E9" s="92">
        <v>0.35099999999999998</v>
      </c>
      <c r="F9" s="92">
        <v>0.32600000000000001</v>
      </c>
      <c r="G9" s="92">
        <v>0.29699999999999999</v>
      </c>
      <c r="H9" s="92">
        <v>0.317</v>
      </c>
      <c r="I9" s="92">
        <v>0.28399999999999997</v>
      </c>
      <c r="J9">
        <v>0</v>
      </c>
    </row>
    <row r="10" spans="1:11" x14ac:dyDescent="0.15">
      <c r="A10" t="s">
        <v>70</v>
      </c>
      <c r="B10">
        <v>1</v>
      </c>
      <c r="C10">
        <v>1</v>
      </c>
      <c r="D10">
        <v>1</v>
      </c>
      <c r="E10">
        <v>1</v>
      </c>
      <c r="F10">
        <v>1</v>
      </c>
      <c r="G10">
        <v>1</v>
      </c>
      <c r="H10">
        <v>1</v>
      </c>
      <c r="I10">
        <v>1</v>
      </c>
      <c r="J10">
        <v>0</v>
      </c>
    </row>
    <row r="12" spans="1:11" x14ac:dyDescent="0.15">
      <c r="A12" t="s">
        <v>69</v>
      </c>
      <c r="B12">
        <v>0</v>
      </c>
      <c r="C12" t="s">
        <v>218</v>
      </c>
      <c r="D12" t="s">
        <v>219</v>
      </c>
      <c r="E12" t="s">
        <v>220</v>
      </c>
      <c r="F12" t="s">
        <v>221</v>
      </c>
      <c r="G12" t="s">
        <v>222</v>
      </c>
      <c r="H12" t="s">
        <v>223</v>
      </c>
      <c r="I12" t="s">
        <v>224</v>
      </c>
      <c r="J12" t="s">
        <v>225</v>
      </c>
      <c r="K12" t="s">
        <v>68</v>
      </c>
    </row>
    <row r="13" spans="1:11" x14ac:dyDescent="0.15">
      <c r="A13" t="s">
        <v>71</v>
      </c>
      <c r="B13">
        <v>1</v>
      </c>
      <c r="C13" s="92">
        <v>0.32900000000000001</v>
      </c>
      <c r="D13" s="92">
        <v>0.34100000000000003</v>
      </c>
      <c r="E13" s="92">
        <v>0.33500000000000002</v>
      </c>
      <c r="F13" s="92">
        <v>0.32200000000000001</v>
      </c>
      <c r="G13" s="92">
        <v>0.373</v>
      </c>
      <c r="H13" s="92">
        <v>0.34100000000000003</v>
      </c>
      <c r="I13" s="92">
        <v>0.307</v>
      </c>
      <c r="J13" s="92">
        <v>0.32500000000000001</v>
      </c>
    </row>
    <row r="14" spans="1:11" x14ac:dyDescent="0.15">
      <c r="A14" t="s">
        <v>72</v>
      </c>
      <c r="B14">
        <v>1</v>
      </c>
      <c r="C14" s="92">
        <v>0.43</v>
      </c>
      <c r="D14" s="92">
        <v>0.41199999999999998</v>
      </c>
      <c r="E14" s="92">
        <v>0.39</v>
      </c>
      <c r="F14" s="92">
        <v>0.42599999999999999</v>
      </c>
      <c r="G14" s="92">
        <v>0.437</v>
      </c>
      <c r="H14" s="92">
        <v>0.43099999999999999</v>
      </c>
      <c r="I14" s="92">
        <v>0.41499999999999998</v>
      </c>
      <c r="J14" s="92">
        <v>0.41399999999999998</v>
      </c>
    </row>
    <row r="15" spans="1:11" x14ac:dyDescent="0.15">
      <c r="A15" t="s">
        <v>73</v>
      </c>
      <c r="B15">
        <v>1</v>
      </c>
      <c r="C15" s="92">
        <v>0.54500000000000004</v>
      </c>
      <c r="D15" s="92">
        <v>0.503</v>
      </c>
      <c r="E15" s="92">
        <v>0.46800000000000003</v>
      </c>
      <c r="F15" s="92">
        <v>0.51800000000000002</v>
      </c>
      <c r="G15" s="92">
        <v>0.5</v>
      </c>
      <c r="H15" s="92">
        <v>0.51200000000000001</v>
      </c>
      <c r="I15" s="92">
        <v>0.50900000000000001</v>
      </c>
      <c r="J15" s="92">
        <v>0.51500000000000001</v>
      </c>
    </row>
    <row r="16" spans="1:11" x14ac:dyDescent="0.15">
      <c r="A16" t="s">
        <v>74</v>
      </c>
      <c r="B16">
        <v>1</v>
      </c>
      <c r="C16" s="92">
        <v>0.56000000000000005</v>
      </c>
      <c r="D16" s="92">
        <v>0.52700000000000002</v>
      </c>
      <c r="E16" s="92">
        <v>0.48699999999999999</v>
      </c>
      <c r="F16" s="92">
        <v>0.50800000000000001</v>
      </c>
      <c r="G16" s="92">
        <v>0.5</v>
      </c>
      <c r="H16" s="92">
        <v>0.498</v>
      </c>
      <c r="I16" s="92">
        <v>0.49</v>
      </c>
      <c r="J16" s="92">
        <v>0.52800000000000002</v>
      </c>
    </row>
    <row r="17" spans="1:10" x14ac:dyDescent="0.15">
      <c r="A17" t="s">
        <v>75</v>
      </c>
      <c r="B17">
        <v>1</v>
      </c>
      <c r="C17" s="92">
        <v>0.502</v>
      </c>
      <c r="D17" s="92">
        <v>0.50700000000000001</v>
      </c>
      <c r="E17" s="92">
        <v>0.47599999999999998</v>
      </c>
      <c r="F17" s="92">
        <v>0.437</v>
      </c>
      <c r="G17" s="92">
        <v>0.47199999999999998</v>
      </c>
      <c r="H17" s="92">
        <v>0.434</v>
      </c>
      <c r="I17" s="92">
        <v>0.41199999999999998</v>
      </c>
      <c r="J17" s="92">
        <v>0.48</v>
      </c>
    </row>
    <row r="18" spans="1:10" x14ac:dyDescent="0.15">
      <c r="A18" t="s">
        <v>76</v>
      </c>
      <c r="B18">
        <v>1</v>
      </c>
      <c r="C18" s="92">
        <v>0.52600000000000002</v>
      </c>
      <c r="D18" s="92">
        <v>0.54800000000000004</v>
      </c>
      <c r="E18" s="92">
        <v>0.55000000000000004</v>
      </c>
      <c r="F18" s="92">
        <v>0.48099999999999998</v>
      </c>
      <c r="G18" s="92">
        <v>0.52</v>
      </c>
      <c r="H18" s="92">
        <v>0.49099999999999999</v>
      </c>
      <c r="I18" s="92">
        <v>0.47899999999999998</v>
      </c>
      <c r="J18" s="92">
        <v>0.51700000000000002</v>
      </c>
    </row>
    <row r="19" spans="1:10" x14ac:dyDescent="0.15">
      <c r="A19" t="s">
        <v>78</v>
      </c>
      <c r="B19">
        <v>1</v>
      </c>
      <c r="C19" s="92">
        <v>0.50800000000000001</v>
      </c>
      <c r="D19" s="92">
        <v>0.52900000000000003</v>
      </c>
      <c r="E19" s="92">
        <v>0.55300000000000005</v>
      </c>
      <c r="F19" s="92">
        <v>0.48099999999999998</v>
      </c>
      <c r="G19" s="92">
        <v>0.51800000000000002</v>
      </c>
      <c r="H19" s="92">
        <v>0.504</v>
      </c>
      <c r="I19" s="92">
        <v>0.495</v>
      </c>
      <c r="J19" s="92">
        <v>0.505</v>
      </c>
    </row>
    <row r="20" spans="1:10" x14ac:dyDescent="0.15">
      <c r="A20" t="s">
        <v>77</v>
      </c>
      <c r="B20">
        <v>1</v>
      </c>
      <c r="C20" s="92">
        <v>0.41099999999999998</v>
      </c>
      <c r="D20" s="92">
        <v>0.42799999999999999</v>
      </c>
      <c r="E20" s="92">
        <v>0.44700000000000001</v>
      </c>
      <c r="F20" s="92">
        <v>0.40100000000000002</v>
      </c>
      <c r="G20" s="92">
        <v>0.442</v>
      </c>
      <c r="H20" s="92">
        <v>0.42699999999999999</v>
      </c>
      <c r="I20" s="92">
        <v>0.40600000000000003</v>
      </c>
      <c r="J20" s="92">
        <v>0.41099999999999998</v>
      </c>
    </row>
    <row r="21" spans="1:10" x14ac:dyDescent="0.15">
      <c r="A21" t="s">
        <v>70</v>
      </c>
      <c r="B21">
        <v>1</v>
      </c>
      <c r="C21">
        <v>1</v>
      </c>
      <c r="D21">
        <v>1</v>
      </c>
      <c r="E21">
        <v>1</v>
      </c>
      <c r="F21">
        <v>1</v>
      </c>
      <c r="G21">
        <v>1</v>
      </c>
      <c r="H21">
        <v>1</v>
      </c>
      <c r="I21">
        <v>1</v>
      </c>
      <c r="J21">
        <v>1</v>
      </c>
    </row>
  </sheetData>
  <phoneticPr fontId="2"/>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T139"/>
  <sheetViews>
    <sheetView showGridLines="0" workbookViewId="0">
      <selection sqref="A1:J1"/>
    </sheetView>
  </sheetViews>
  <sheetFormatPr defaultRowHeight="18.75" x14ac:dyDescent="0.15"/>
  <cols>
    <col min="1" max="1" width="1" style="122" customWidth="1"/>
    <col min="2" max="2" width="1.5" style="119" customWidth="1"/>
    <col min="3" max="3" width="9" style="119"/>
    <col min="4" max="4" width="16" style="119" customWidth="1"/>
    <col min="5" max="5" width="8.125" style="119" customWidth="1"/>
    <col min="6" max="6" width="8.625" style="119" customWidth="1"/>
    <col min="7" max="7" width="8.125" style="119" customWidth="1"/>
    <col min="8" max="8" width="8.625" style="119" customWidth="1"/>
    <col min="9" max="9" width="8.125" style="119" customWidth="1"/>
    <col min="10" max="10" width="8.625" style="119" customWidth="1"/>
    <col min="11" max="11" width="8.125" style="122" customWidth="1"/>
    <col min="12" max="12" width="8.625" style="122" customWidth="1"/>
    <col min="13" max="13" width="0.625" style="122" customWidth="1"/>
    <col min="14" max="14" width="2.75" style="122" customWidth="1"/>
    <col min="15" max="15" width="63.25" style="121" customWidth="1"/>
  </cols>
  <sheetData>
    <row r="1" spans="1:20" ht="27" customHeight="1" thickTop="1" thickBot="1" x14ac:dyDescent="0.2">
      <c r="A1" s="317" t="s">
        <v>537</v>
      </c>
      <c r="B1" s="317"/>
      <c r="C1" s="317"/>
      <c r="D1" s="317"/>
      <c r="E1" s="317"/>
      <c r="F1" s="317"/>
      <c r="G1" s="317"/>
      <c r="H1" s="317"/>
      <c r="I1" s="317"/>
      <c r="J1" s="317"/>
      <c r="K1" s="324" t="s">
        <v>439</v>
      </c>
      <c r="L1" s="324"/>
      <c r="M1" s="116"/>
      <c r="N1" s="113"/>
      <c r="O1" s="117" t="s">
        <v>177</v>
      </c>
      <c r="P1" s="67"/>
      <c r="Q1" s="67"/>
      <c r="R1" s="67"/>
      <c r="S1" s="67"/>
      <c r="T1" s="67"/>
    </row>
    <row r="2" spans="1:20" s="3" customFormat="1" ht="4.5" customHeight="1" thickTop="1" thickBot="1" x14ac:dyDescent="0.2">
      <c r="A2" s="118"/>
      <c r="B2" s="119"/>
      <c r="C2" s="118"/>
      <c r="D2" s="118"/>
      <c r="E2" s="118"/>
      <c r="F2" s="118"/>
      <c r="G2" s="325"/>
      <c r="H2" s="325"/>
      <c r="I2" s="325"/>
      <c r="J2" s="325"/>
      <c r="K2" s="325"/>
      <c r="L2" s="119"/>
      <c r="M2" s="118"/>
      <c r="N2" s="309" t="s">
        <v>178</v>
      </c>
      <c r="O2" s="121"/>
      <c r="P2" s="68"/>
      <c r="Q2" s="68"/>
    </row>
    <row r="3" spans="1:20" s="2" customFormat="1" ht="18.75" customHeight="1" thickTop="1" thickBot="1" x14ac:dyDescent="0.2">
      <c r="A3" s="122"/>
      <c r="B3" s="318" t="s">
        <v>0</v>
      </c>
      <c r="C3" s="319"/>
      <c r="D3" s="320"/>
      <c r="E3" s="336"/>
      <c r="F3" s="336"/>
      <c r="G3" s="336"/>
      <c r="H3" s="336"/>
      <c r="I3" s="336"/>
      <c r="J3" s="336"/>
      <c r="K3" s="336"/>
      <c r="L3" s="336"/>
      <c r="M3" s="122"/>
      <c r="N3" s="309"/>
      <c r="O3" s="123" t="s">
        <v>399</v>
      </c>
    </row>
    <row r="4" spans="1:20" s="2" customFormat="1" ht="19.5" customHeight="1" thickTop="1" x14ac:dyDescent="0.15">
      <c r="A4" s="122"/>
      <c r="B4" s="328" t="s">
        <v>185</v>
      </c>
      <c r="C4" s="329"/>
      <c r="D4" s="330"/>
      <c r="E4" s="124" t="s">
        <v>168</v>
      </c>
      <c r="F4" s="31"/>
      <c r="G4" s="124" t="s">
        <v>169</v>
      </c>
      <c r="H4" s="31"/>
      <c r="I4" s="124" t="s">
        <v>170</v>
      </c>
      <c r="J4" s="31"/>
      <c r="K4" s="124" t="s">
        <v>171</v>
      </c>
      <c r="L4" s="31"/>
      <c r="M4" s="122"/>
      <c r="N4" s="309" t="s">
        <v>178</v>
      </c>
      <c r="O4" s="326" t="s">
        <v>176</v>
      </c>
    </row>
    <row r="5" spans="1:20" s="3" customFormat="1" ht="19.5" customHeight="1" thickBot="1" x14ac:dyDescent="0.2">
      <c r="A5" s="118"/>
      <c r="B5" s="331"/>
      <c r="C5" s="332"/>
      <c r="D5" s="333"/>
      <c r="E5" s="124" t="s">
        <v>172</v>
      </c>
      <c r="F5" s="31"/>
      <c r="G5" s="124" t="s">
        <v>173</v>
      </c>
      <c r="H5" s="31"/>
      <c r="I5" s="124" t="s">
        <v>174</v>
      </c>
      <c r="J5" s="31"/>
      <c r="K5" s="124" t="s">
        <v>175</v>
      </c>
      <c r="L5" s="31"/>
      <c r="M5" s="118"/>
      <c r="N5" s="309"/>
      <c r="O5" s="327"/>
      <c r="P5" s="68"/>
      <c r="Q5" s="68"/>
    </row>
    <row r="6" spans="1:20" s="3" customFormat="1" ht="86.25" customHeight="1" thickTop="1" thickBot="1" x14ac:dyDescent="0.2">
      <c r="A6" s="118"/>
      <c r="B6" s="334" t="s">
        <v>515</v>
      </c>
      <c r="C6" s="334"/>
      <c r="D6" s="334"/>
      <c r="E6" s="334"/>
      <c r="F6" s="334"/>
      <c r="G6" s="334"/>
      <c r="H6" s="334"/>
      <c r="I6" s="334"/>
      <c r="J6" s="334"/>
      <c r="K6" s="334"/>
      <c r="L6" s="334"/>
      <c r="M6" s="118"/>
      <c r="N6" s="118"/>
      <c r="O6" s="121"/>
      <c r="P6" s="68"/>
      <c r="Q6" s="68"/>
    </row>
    <row r="7" spans="1:20" s="3" customFormat="1" ht="11.25" customHeight="1" thickTop="1" x14ac:dyDescent="0.15">
      <c r="A7" s="118"/>
      <c r="B7" s="119"/>
      <c r="C7" s="118"/>
      <c r="D7" s="118"/>
      <c r="E7" s="118"/>
      <c r="F7" s="118"/>
      <c r="G7" s="325"/>
      <c r="H7" s="325"/>
      <c r="I7" s="325"/>
      <c r="J7" s="325"/>
      <c r="K7" s="325"/>
      <c r="L7" s="119"/>
      <c r="M7" s="118"/>
      <c r="N7" s="118"/>
      <c r="O7" s="306" t="s">
        <v>472</v>
      </c>
      <c r="P7" s="68"/>
      <c r="Q7" s="68"/>
    </row>
    <row r="8" spans="1:20" ht="41.25" customHeight="1" x14ac:dyDescent="0.15">
      <c r="C8" s="119" t="s">
        <v>18</v>
      </c>
      <c r="H8" s="125" t="s">
        <v>167</v>
      </c>
      <c r="I8" s="125" t="s">
        <v>1</v>
      </c>
      <c r="J8" s="125" t="s">
        <v>15</v>
      </c>
      <c r="K8" s="125" t="s">
        <v>16</v>
      </c>
      <c r="L8" s="126"/>
      <c r="O8" s="307"/>
    </row>
    <row r="9" spans="1:20" ht="19.5" customHeight="1" thickBot="1" x14ac:dyDescent="0.2">
      <c r="C9" s="127"/>
      <c r="D9" s="127"/>
      <c r="E9" s="127"/>
      <c r="F9" s="127"/>
      <c r="G9" s="125" t="s">
        <v>2</v>
      </c>
      <c r="H9" s="128">
        <v>0.83</v>
      </c>
      <c r="I9" s="128">
        <v>0.17</v>
      </c>
      <c r="J9" s="129"/>
      <c r="K9" s="129"/>
      <c r="L9" s="130"/>
      <c r="N9" s="120" t="s">
        <v>178</v>
      </c>
      <c r="O9" s="308"/>
    </row>
    <row r="10" spans="1:20" ht="36" customHeight="1" thickTop="1" x14ac:dyDescent="0.15">
      <c r="C10" s="314" t="s">
        <v>3</v>
      </c>
      <c r="D10" s="315"/>
      <c r="E10" s="316"/>
      <c r="F10" s="125" t="s">
        <v>5</v>
      </c>
      <c r="G10" s="131" t="s">
        <v>4</v>
      </c>
      <c r="H10" s="125" t="s">
        <v>19</v>
      </c>
      <c r="I10" s="125" t="s">
        <v>19</v>
      </c>
      <c r="J10" s="125" t="s">
        <v>19</v>
      </c>
      <c r="K10" s="125" t="s">
        <v>19</v>
      </c>
      <c r="L10" s="126"/>
      <c r="N10" s="132"/>
      <c r="O10" s="306" t="s">
        <v>268</v>
      </c>
    </row>
    <row r="11" spans="1:20" ht="18.75" customHeight="1" thickBot="1" x14ac:dyDescent="0.2">
      <c r="C11" s="337" t="s">
        <v>6</v>
      </c>
      <c r="D11" s="338"/>
      <c r="E11" s="339"/>
      <c r="F11" s="133"/>
      <c r="G11" s="134"/>
      <c r="H11" s="135">
        <v>0.11</v>
      </c>
      <c r="I11" s="135">
        <v>0.11</v>
      </c>
      <c r="J11" s="136"/>
      <c r="K11" s="136"/>
      <c r="L11" s="127"/>
      <c r="N11" s="120" t="s">
        <v>178</v>
      </c>
      <c r="O11" s="308"/>
    </row>
    <row r="12" spans="1:20" ht="18.75" customHeight="1" thickTop="1" x14ac:dyDescent="0.15">
      <c r="C12" s="321" t="s">
        <v>7</v>
      </c>
      <c r="D12" s="322"/>
      <c r="E12" s="323"/>
      <c r="F12" s="137">
        <v>0.16</v>
      </c>
      <c r="G12" s="138">
        <v>12</v>
      </c>
      <c r="H12" s="139">
        <f>$G12/1000/$F12</f>
        <v>7.4999999999999997E-2</v>
      </c>
      <c r="I12" s="139">
        <f>$G12/1000/$F12</f>
        <v>7.4999999999999997E-2</v>
      </c>
      <c r="J12" s="140"/>
      <c r="K12" s="140"/>
      <c r="L12" s="127"/>
      <c r="N12" s="309" t="s">
        <v>178</v>
      </c>
      <c r="O12" s="306" t="s">
        <v>500</v>
      </c>
    </row>
    <row r="13" spans="1:20" ht="18.75" customHeight="1" x14ac:dyDescent="0.15">
      <c r="C13" s="321" t="s">
        <v>8</v>
      </c>
      <c r="D13" s="322"/>
      <c r="E13" s="323"/>
      <c r="F13" s="137">
        <v>4.4999999999999998E-2</v>
      </c>
      <c r="G13" s="138">
        <v>100</v>
      </c>
      <c r="H13" s="139">
        <f>$G13/1000/$F13</f>
        <v>2.2222222222222223</v>
      </c>
      <c r="I13" s="141"/>
      <c r="J13" s="140"/>
      <c r="K13" s="140"/>
      <c r="L13" s="127"/>
      <c r="N13" s="309"/>
      <c r="O13" s="307"/>
    </row>
    <row r="14" spans="1:20" ht="18.75" customHeight="1" x14ac:dyDescent="0.15">
      <c r="C14" s="321" t="s">
        <v>9</v>
      </c>
      <c r="D14" s="322"/>
      <c r="E14" s="323"/>
      <c r="F14" s="137">
        <v>0.12</v>
      </c>
      <c r="G14" s="138">
        <v>100</v>
      </c>
      <c r="H14" s="141"/>
      <c r="I14" s="139">
        <f>$G14/1000/$F14</f>
        <v>0.83333333333333337</v>
      </c>
      <c r="J14" s="140"/>
      <c r="K14" s="140"/>
      <c r="L14" s="127"/>
      <c r="N14" s="309"/>
      <c r="O14" s="307"/>
    </row>
    <row r="15" spans="1:20" ht="18.75" customHeight="1" thickBot="1" x14ac:dyDescent="0.2">
      <c r="C15" s="321" t="s">
        <v>162</v>
      </c>
      <c r="D15" s="322"/>
      <c r="E15" s="323"/>
      <c r="F15" s="137">
        <v>0.22</v>
      </c>
      <c r="G15" s="138">
        <v>12.5</v>
      </c>
      <c r="H15" s="139">
        <f>$G15/1000/$F15</f>
        <v>5.6818181818181823E-2</v>
      </c>
      <c r="I15" s="139">
        <f>$G15/1000/$F15</f>
        <v>5.6818181818181823E-2</v>
      </c>
      <c r="J15" s="140"/>
      <c r="K15" s="140"/>
      <c r="L15" s="127"/>
      <c r="N15" s="309"/>
      <c r="O15" s="308"/>
    </row>
    <row r="16" spans="1:20" ht="18.75" customHeight="1" thickTop="1" thickBot="1" x14ac:dyDescent="0.2">
      <c r="C16" s="335" t="s">
        <v>10</v>
      </c>
      <c r="D16" s="335"/>
      <c r="E16" s="335"/>
      <c r="F16" s="142"/>
      <c r="G16" s="143"/>
      <c r="H16" s="144">
        <v>0.11</v>
      </c>
      <c r="I16" s="144">
        <v>0.11</v>
      </c>
      <c r="J16" s="145"/>
      <c r="K16" s="145"/>
      <c r="L16" s="127"/>
      <c r="O16" s="306" t="s">
        <v>278</v>
      </c>
    </row>
    <row r="17" spans="3:16" ht="18.75" customHeight="1" thickTop="1" x14ac:dyDescent="0.15">
      <c r="D17" s="146"/>
      <c r="E17" s="304" t="s">
        <v>11</v>
      </c>
      <c r="F17" s="304"/>
      <c r="G17" s="304"/>
      <c r="H17" s="148">
        <f>SUM(H11:H16)</f>
        <v>2.5740404040404039</v>
      </c>
      <c r="I17" s="149">
        <f>SUM(I11:I16)</f>
        <v>1.1851515151515153</v>
      </c>
      <c r="J17" s="149">
        <f>SUM(J11:J16)</f>
        <v>0</v>
      </c>
      <c r="K17" s="149">
        <f>SUM(K11:K16)</f>
        <v>0</v>
      </c>
      <c r="L17" s="150"/>
      <c r="N17" s="309" t="s">
        <v>178</v>
      </c>
      <c r="O17" s="307"/>
    </row>
    <row r="18" spans="3:16" ht="18.75" customHeight="1" thickBot="1" x14ac:dyDescent="0.2">
      <c r="D18" s="151"/>
      <c r="E18" s="304" t="s">
        <v>12</v>
      </c>
      <c r="F18" s="304"/>
      <c r="G18" s="304"/>
      <c r="H18" s="152">
        <f>IF(H17&gt;0,1/H17,0)</f>
        <v>0.38849429031118787</v>
      </c>
      <c r="I18" s="153">
        <f t="shared" ref="I18:K18" si="0">IF(I17&gt;0,1/I17,0)</f>
        <v>0.84377397085144457</v>
      </c>
      <c r="J18" s="153">
        <f t="shared" si="0"/>
        <v>0</v>
      </c>
      <c r="K18" s="153">
        <f t="shared" si="0"/>
        <v>0</v>
      </c>
      <c r="L18" s="150"/>
      <c r="N18" s="309"/>
      <c r="O18" s="308"/>
    </row>
    <row r="19" spans="3:16" ht="22.5" customHeight="1" thickTop="1" thickBot="1" x14ac:dyDescent="0.2">
      <c r="D19" s="151"/>
      <c r="E19" s="287" t="s">
        <v>230</v>
      </c>
      <c r="F19" s="287"/>
      <c r="G19" s="288"/>
      <c r="H19" s="154">
        <f>IF(SUM(H9:K9)&gt;0,(H18*H9+I18*I9+J18*J9+K18*K9)/SUM(H9:K9),0)</f>
        <v>0.46589183600303152</v>
      </c>
      <c r="I19" s="150"/>
      <c r="J19" s="150"/>
      <c r="K19" s="150"/>
      <c r="L19" s="150"/>
      <c r="N19" s="120" t="s">
        <v>178</v>
      </c>
      <c r="O19" s="306" t="s">
        <v>471</v>
      </c>
    </row>
    <row r="20" spans="3:16" ht="5.25" customHeight="1" thickTop="1" thickBot="1" x14ac:dyDescent="0.2">
      <c r="D20" s="151"/>
      <c r="O20" s="308"/>
    </row>
    <row r="21" spans="3:16" ht="18.75" customHeight="1" thickTop="1" x14ac:dyDescent="0.15">
      <c r="C21" s="155" t="s">
        <v>17</v>
      </c>
      <c r="D21" s="151"/>
      <c r="H21" s="125" t="s">
        <v>13</v>
      </c>
      <c r="I21" s="125" t="s">
        <v>14</v>
      </c>
      <c r="J21" s="125" t="s">
        <v>15</v>
      </c>
      <c r="K21" s="125" t="s">
        <v>16</v>
      </c>
      <c r="L21" s="126"/>
      <c r="N21" s="341"/>
      <c r="O21" s="340"/>
    </row>
    <row r="22" spans="3:16" ht="18.75" customHeight="1" x14ac:dyDescent="0.15">
      <c r="G22" s="131" t="s">
        <v>2</v>
      </c>
      <c r="H22" s="12"/>
      <c r="I22" s="12"/>
      <c r="J22" s="12"/>
      <c r="K22" s="12"/>
      <c r="L22" s="130"/>
      <c r="N22" s="341"/>
      <c r="O22" s="340"/>
    </row>
    <row r="23" spans="3:16" ht="33.75" customHeight="1" thickBot="1" x14ac:dyDescent="0.2">
      <c r="C23" s="314" t="s">
        <v>3</v>
      </c>
      <c r="D23" s="315"/>
      <c r="E23" s="316"/>
      <c r="F23" s="125" t="s">
        <v>5</v>
      </c>
      <c r="G23" s="131" t="s">
        <v>4</v>
      </c>
      <c r="H23" s="125" t="s">
        <v>19</v>
      </c>
      <c r="I23" s="125" t="s">
        <v>19</v>
      </c>
      <c r="J23" s="125" t="s">
        <v>19</v>
      </c>
      <c r="K23" s="125" t="s">
        <v>19</v>
      </c>
      <c r="L23" s="126"/>
    </row>
    <row r="24" spans="3:16" ht="18.75" customHeight="1" thickTop="1" x14ac:dyDescent="0.15">
      <c r="C24" s="295"/>
      <c r="D24" s="296"/>
      <c r="E24" s="297"/>
      <c r="F24" s="14"/>
      <c r="G24" s="15"/>
      <c r="H24" s="16"/>
      <c r="I24" s="16"/>
      <c r="J24" s="16"/>
      <c r="K24" s="16"/>
      <c r="L24" s="150"/>
      <c r="N24" s="310" t="s">
        <v>178</v>
      </c>
      <c r="O24" s="311" t="s">
        <v>473</v>
      </c>
    </row>
    <row r="25" spans="3:16" ht="18.75" customHeight="1" x14ac:dyDescent="0.15">
      <c r="C25" s="298"/>
      <c r="D25" s="299"/>
      <c r="E25" s="300"/>
      <c r="F25" s="17"/>
      <c r="G25" s="18"/>
      <c r="H25" s="19"/>
      <c r="I25" s="19"/>
      <c r="J25" s="19"/>
      <c r="K25" s="19"/>
      <c r="L25" s="150"/>
      <c r="N25" s="310"/>
      <c r="O25" s="312"/>
    </row>
    <row r="26" spans="3:16" ht="18.75" customHeight="1" thickBot="1" x14ac:dyDescent="0.2">
      <c r="C26" s="298"/>
      <c r="D26" s="299"/>
      <c r="E26" s="300"/>
      <c r="F26" s="17"/>
      <c r="G26" s="18"/>
      <c r="H26" s="19"/>
      <c r="I26" s="19"/>
      <c r="J26" s="19"/>
      <c r="K26" s="19"/>
      <c r="L26" s="150"/>
      <c r="N26" s="310"/>
      <c r="O26" s="313"/>
    </row>
    <row r="27" spans="3:16" ht="18.75" customHeight="1" thickTop="1" x14ac:dyDescent="0.15">
      <c r="C27" s="298"/>
      <c r="D27" s="299"/>
      <c r="E27" s="300"/>
      <c r="F27" s="17"/>
      <c r="G27" s="18"/>
      <c r="H27" s="19"/>
      <c r="I27" s="19"/>
      <c r="J27" s="19"/>
      <c r="K27" s="19"/>
      <c r="L27" s="150"/>
      <c r="O27" s="306" t="s">
        <v>493</v>
      </c>
    </row>
    <row r="28" spans="3:16" ht="18.75" customHeight="1" x14ac:dyDescent="0.15">
      <c r="C28" s="298"/>
      <c r="D28" s="299"/>
      <c r="E28" s="300"/>
      <c r="F28" s="17"/>
      <c r="G28" s="18"/>
      <c r="H28" s="19"/>
      <c r="I28" s="19"/>
      <c r="J28" s="19"/>
      <c r="K28" s="19"/>
      <c r="L28" s="150"/>
      <c r="O28" s="307"/>
    </row>
    <row r="29" spans="3:16" ht="18.75" customHeight="1" thickBot="1" x14ac:dyDescent="0.2">
      <c r="C29" s="298"/>
      <c r="D29" s="299"/>
      <c r="E29" s="300"/>
      <c r="F29" s="17"/>
      <c r="G29" s="18"/>
      <c r="H29" s="19"/>
      <c r="I29" s="19"/>
      <c r="J29" s="19"/>
      <c r="K29" s="19"/>
      <c r="L29" s="150"/>
      <c r="O29" s="308"/>
    </row>
    <row r="30" spans="3:16" ht="18.75" customHeight="1" thickTop="1" x14ac:dyDescent="0.15">
      <c r="C30" s="298"/>
      <c r="D30" s="299"/>
      <c r="E30" s="300"/>
      <c r="F30" s="17"/>
      <c r="G30" s="18"/>
      <c r="H30" s="19"/>
      <c r="I30" s="19"/>
      <c r="J30" s="19"/>
      <c r="K30" s="19"/>
      <c r="L30" s="150"/>
      <c r="P30" s="27"/>
    </row>
    <row r="31" spans="3:16" ht="18.75" customHeight="1" thickBot="1" x14ac:dyDescent="0.2">
      <c r="C31" s="301"/>
      <c r="D31" s="302"/>
      <c r="E31" s="303"/>
      <c r="F31" s="20"/>
      <c r="G31" s="21"/>
      <c r="H31" s="22"/>
      <c r="I31" s="22"/>
      <c r="J31" s="22"/>
      <c r="K31" s="22"/>
      <c r="L31" s="150"/>
    </row>
    <row r="32" spans="3:16" ht="18.75" customHeight="1" thickTop="1" thickBot="1" x14ac:dyDescent="0.2">
      <c r="D32" s="146"/>
      <c r="E32" s="304" t="s">
        <v>11</v>
      </c>
      <c r="F32" s="304"/>
      <c r="G32" s="304"/>
      <c r="H32" s="158">
        <f>SUM(H24:H31)</f>
        <v>0</v>
      </c>
      <c r="I32" s="158">
        <f>SUM(I24:I31)</f>
        <v>0</v>
      </c>
      <c r="J32" s="158">
        <f>SUM(J24:J31)</f>
        <v>0</v>
      </c>
      <c r="K32" s="158">
        <f>SUM(K24:K31)</f>
        <v>0</v>
      </c>
      <c r="L32" s="150"/>
    </row>
    <row r="33" spans="3:15" ht="18.75" customHeight="1" thickTop="1" thickBot="1" x14ac:dyDescent="0.2">
      <c r="D33" s="146"/>
      <c r="E33" s="304" t="s">
        <v>12</v>
      </c>
      <c r="F33" s="304"/>
      <c r="G33" s="304"/>
      <c r="H33" s="159">
        <f>IF(H32&gt;0,1/H32,0)</f>
        <v>0</v>
      </c>
      <c r="I33" s="160">
        <f t="shared" ref="I33:K33" si="1">IF(I32&gt;0,1/I32,0)</f>
        <v>0</v>
      </c>
      <c r="J33" s="160">
        <f t="shared" si="1"/>
        <v>0</v>
      </c>
      <c r="K33" s="160">
        <f t="shared" si="1"/>
        <v>0</v>
      </c>
      <c r="L33" s="150"/>
      <c r="O33" s="306" t="s">
        <v>467</v>
      </c>
    </row>
    <row r="34" spans="3:15" ht="22.5" customHeight="1" thickTop="1" thickBot="1" x14ac:dyDescent="0.2">
      <c r="D34" s="161"/>
      <c r="E34" s="287" t="s">
        <v>230</v>
      </c>
      <c r="F34" s="287"/>
      <c r="G34" s="288"/>
      <c r="H34" s="162">
        <f>IF(SUM(H22:K22)&gt;0,(H33*H22+I33*I22+J33*J22+K33*K22)/SUM(H22:K22),0)</f>
        <v>0</v>
      </c>
      <c r="I34" s="150" t="s">
        <v>423</v>
      </c>
      <c r="J34" s="150"/>
      <c r="K34" s="150"/>
      <c r="L34" s="150"/>
      <c r="N34" s="120" t="s">
        <v>178</v>
      </c>
      <c r="O34" s="308"/>
    </row>
    <row r="35" spans="3:15" ht="5.25" customHeight="1" thickTop="1" thickBot="1" x14ac:dyDescent="0.2">
      <c r="K35" s="119"/>
      <c r="L35" s="119"/>
    </row>
    <row r="36" spans="3:15" ht="18.75" customHeight="1" thickTop="1" x14ac:dyDescent="0.15">
      <c r="C36" s="155" t="s">
        <v>161</v>
      </c>
      <c r="D36" s="151"/>
      <c r="F36" s="127"/>
      <c r="G36" s="127"/>
      <c r="H36" s="125" t="s">
        <v>13</v>
      </c>
      <c r="I36" s="125" t="s">
        <v>14</v>
      </c>
      <c r="J36" s="125" t="s">
        <v>15</v>
      </c>
      <c r="K36" s="125" t="s">
        <v>16</v>
      </c>
      <c r="L36" s="126"/>
      <c r="N36" s="120" t="s">
        <v>178</v>
      </c>
      <c r="O36" s="306" t="s">
        <v>179</v>
      </c>
    </row>
    <row r="37" spans="3:15" ht="18.75" customHeight="1" thickBot="1" x14ac:dyDescent="0.2">
      <c r="C37" s="127"/>
      <c r="D37" s="127"/>
      <c r="E37" s="127"/>
      <c r="F37" s="127"/>
      <c r="G37" s="125" t="s">
        <v>2</v>
      </c>
      <c r="H37" s="12"/>
      <c r="I37" s="12"/>
      <c r="J37" s="12"/>
      <c r="K37" s="12"/>
      <c r="L37" s="130"/>
      <c r="N37" s="163"/>
      <c r="O37" s="308"/>
    </row>
    <row r="38" spans="3:15" ht="33.75" customHeight="1" thickTop="1" thickBot="1" x14ac:dyDescent="0.2">
      <c r="C38" s="314" t="s">
        <v>3</v>
      </c>
      <c r="D38" s="315"/>
      <c r="E38" s="316"/>
      <c r="F38" s="125" t="s">
        <v>5</v>
      </c>
      <c r="G38" s="131" t="s">
        <v>4</v>
      </c>
      <c r="H38" s="125" t="s">
        <v>19</v>
      </c>
      <c r="I38" s="125" t="s">
        <v>19</v>
      </c>
      <c r="J38" s="125" t="s">
        <v>19</v>
      </c>
      <c r="K38" s="125" t="s">
        <v>19</v>
      </c>
      <c r="L38" s="126"/>
    </row>
    <row r="39" spans="3:15" ht="18.75" customHeight="1" thickTop="1" x14ac:dyDescent="0.15">
      <c r="C39" s="295"/>
      <c r="D39" s="296"/>
      <c r="E39" s="297"/>
      <c r="F39" s="14"/>
      <c r="G39" s="15"/>
      <c r="H39" s="16"/>
      <c r="I39" s="16"/>
      <c r="J39" s="16"/>
      <c r="K39" s="16"/>
      <c r="L39" s="150"/>
      <c r="N39" s="310" t="s">
        <v>178</v>
      </c>
      <c r="O39" s="311" t="s">
        <v>474</v>
      </c>
    </row>
    <row r="40" spans="3:15" ht="18.75" customHeight="1" x14ac:dyDescent="0.15">
      <c r="C40" s="298"/>
      <c r="D40" s="299"/>
      <c r="E40" s="300"/>
      <c r="F40" s="17"/>
      <c r="G40" s="18"/>
      <c r="H40" s="19"/>
      <c r="I40" s="19"/>
      <c r="J40" s="19"/>
      <c r="K40" s="19"/>
      <c r="L40" s="150"/>
      <c r="N40" s="310"/>
      <c r="O40" s="312"/>
    </row>
    <row r="41" spans="3:15" ht="18.75" customHeight="1" thickBot="1" x14ac:dyDescent="0.2">
      <c r="C41" s="298"/>
      <c r="D41" s="299"/>
      <c r="E41" s="300"/>
      <c r="F41" s="17"/>
      <c r="G41" s="18"/>
      <c r="H41" s="19"/>
      <c r="I41" s="19"/>
      <c r="J41" s="19"/>
      <c r="K41" s="19"/>
      <c r="L41" s="150"/>
      <c r="N41" s="310"/>
      <c r="O41" s="313"/>
    </row>
    <row r="42" spans="3:15" ht="18.75" customHeight="1" thickTop="1" x14ac:dyDescent="0.15">
      <c r="C42" s="298"/>
      <c r="D42" s="299"/>
      <c r="E42" s="300"/>
      <c r="F42" s="17"/>
      <c r="G42" s="18"/>
      <c r="H42" s="19"/>
      <c r="I42" s="19"/>
      <c r="J42" s="19"/>
      <c r="K42" s="19"/>
      <c r="L42" s="150"/>
    </row>
    <row r="43" spans="3:15" ht="18.75" customHeight="1" x14ac:dyDescent="0.15">
      <c r="C43" s="298"/>
      <c r="D43" s="299"/>
      <c r="E43" s="300"/>
      <c r="F43" s="17"/>
      <c r="G43" s="18"/>
      <c r="H43" s="19"/>
      <c r="I43" s="19"/>
      <c r="J43" s="19"/>
      <c r="K43" s="19"/>
      <c r="L43" s="150"/>
    </row>
    <row r="44" spans="3:15" ht="18.75" customHeight="1" thickBot="1" x14ac:dyDescent="0.2">
      <c r="C44" s="301"/>
      <c r="D44" s="302"/>
      <c r="E44" s="303"/>
      <c r="F44" s="20"/>
      <c r="G44" s="21"/>
      <c r="H44" s="22"/>
      <c r="I44" s="22"/>
      <c r="J44" s="22"/>
      <c r="K44" s="22"/>
      <c r="L44" s="150"/>
    </row>
    <row r="45" spans="3:15" ht="18.75" customHeight="1" thickTop="1" thickBot="1" x14ac:dyDescent="0.2">
      <c r="D45" s="146"/>
      <c r="E45" s="304" t="s">
        <v>11</v>
      </c>
      <c r="F45" s="304"/>
      <c r="G45" s="304"/>
      <c r="H45" s="160">
        <f>SUM(H39:H44)</f>
        <v>0</v>
      </c>
      <c r="I45" s="160">
        <f>SUM(I39:I44)</f>
        <v>0</v>
      </c>
      <c r="J45" s="160">
        <f>SUM(J39:J44)</f>
        <v>0</v>
      </c>
      <c r="K45" s="160">
        <f>SUM(K39:K44)</f>
        <v>0</v>
      </c>
      <c r="L45" s="150"/>
    </row>
    <row r="46" spans="3:15" ht="18.75" customHeight="1" thickTop="1" thickBot="1" x14ac:dyDescent="0.2">
      <c r="D46" s="146"/>
      <c r="E46" s="304" t="s">
        <v>12</v>
      </c>
      <c r="F46" s="304"/>
      <c r="G46" s="304"/>
      <c r="H46" s="159">
        <f>IF(H45&gt;0,1/H45,0)</f>
        <v>0</v>
      </c>
      <c r="I46" s="160">
        <f t="shared" ref="I46:K46" si="2">IF(I45&gt;0,1/I45,0)</f>
        <v>0</v>
      </c>
      <c r="J46" s="160">
        <f t="shared" si="2"/>
        <v>0</v>
      </c>
      <c r="K46" s="160">
        <f t="shared" si="2"/>
        <v>0</v>
      </c>
      <c r="L46" s="150"/>
      <c r="O46" s="306" t="s">
        <v>466</v>
      </c>
    </row>
    <row r="47" spans="3:15" ht="22.5" customHeight="1" thickTop="1" thickBot="1" x14ac:dyDescent="0.2">
      <c r="D47" s="161"/>
      <c r="E47" s="287" t="s">
        <v>230</v>
      </c>
      <c r="F47" s="287"/>
      <c r="G47" s="288"/>
      <c r="H47" s="162">
        <f>IF(SUM(H37:K37)&gt;0,(H46*H37+I46*I37+J46*J37+K46*K37)/SUM(H37:K37),0)</f>
        <v>0</v>
      </c>
      <c r="I47" s="150" t="s">
        <v>423</v>
      </c>
      <c r="J47" s="150"/>
      <c r="K47" s="150"/>
      <c r="L47" s="150"/>
      <c r="N47" s="120" t="s">
        <v>178</v>
      </c>
      <c r="O47" s="308"/>
    </row>
    <row r="48" spans="3:15" ht="5.25" customHeight="1" thickTop="1" thickBot="1" x14ac:dyDescent="0.2">
      <c r="K48" s="119"/>
      <c r="L48" s="119"/>
    </row>
    <row r="49" spans="3:15" ht="18.75" customHeight="1" thickTop="1" x14ac:dyDescent="0.15">
      <c r="C49" s="155" t="s">
        <v>160</v>
      </c>
      <c r="D49" s="151"/>
      <c r="H49" s="131" t="s">
        <v>13</v>
      </c>
      <c r="I49" s="131" t="s">
        <v>14</v>
      </c>
      <c r="J49" s="131" t="s">
        <v>15</v>
      </c>
      <c r="K49" s="131" t="s">
        <v>16</v>
      </c>
      <c r="L49" s="164"/>
      <c r="N49" s="120" t="s">
        <v>178</v>
      </c>
      <c r="O49" s="306" t="s">
        <v>468</v>
      </c>
    </row>
    <row r="50" spans="3:15" ht="18.75" customHeight="1" thickBot="1" x14ac:dyDescent="0.2">
      <c r="G50" s="131" t="s">
        <v>2</v>
      </c>
      <c r="H50" s="12"/>
      <c r="I50" s="12"/>
      <c r="J50" s="12"/>
      <c r="K50" s="12"/>
      <c r="L50" s="130"/>
      <c r="N50" s="163"/>
      <c r="O50" s="308"/>
    </row>
    <row r="51" spans="3:15" ht="33.75" customHeight="1" thickTop="1" thickBot="1" x14ac:dyDescent="0.2">
      <c r="C51" s="314" t="s">
        <v>3</v>
      </c>
      <c r="D51" s="315"/>
      <c r="E51" s="316"/>
      <c r="F51" s="125" t="s">
        <v>5</v>
      </c>
      <c r="G51" s="131" t="s">
        <v>4</v>
      </c>
      <c r="H51" s="125" t="s">
        <v>19</v>
      </c>
      <c r="I51" s="125" t="s">
        <v>19</v>
      </c>
      <c r="J51" s="125" t="s">
        <v>19</v>
      </c>
      <c r="K51" s="125" t="s">
        <v>19</v>
      </c>
      <c r="L51" s="126"/>
    </row>
    <row r="52" spans="3:15" ht="18.75" customHeight="1" thickTop="1" x14ac:dyDescent="0.15">
      <c r="C52" s="295"/>
      <c r="D52" s="296"/>
      <c r="E52" s="297"/>
      <c r="F52" s="14"/>
      <c r="G52" s="15"/>
      <c r="H52" s="16"/>
      <c r="I52" s="16"/>
      <c r="J52" s="16"/>
      <c r="K52" s="16"/>
      <c r="L52" s="150"/>
      <c r="N52" s="310" t="s">
        <v>178</v>
      </c>
      <c r="O52" s="311" t="s">
        <v>475</v>
      </c>
    </row>
    <row r="53" spans="3:15" ht="18.75" customHeight="1" x14ac:dyDescent="0.15">
      <c r="C53" s="298"/>
      <c r="D53" s="299"/>
      <c r="E53" s="300"/>
      <c r="F53" s="17"/>
      <c r="G53" s="18"/>
      <c r="H53" s="19"/>
      <c r="I53" s="19"/>
      <c r="J53" s="19"/>
      <c r="K53" s="19"/>
      <c r="L53" s="150"/>
      <c r="N53" s="310"/>
      <c r="O53" s="312"/>
    </row>
    <row r="54" spans="3:15" ht="18.75" customHeight="1" thickBot="1" x14ac:dyDescent="0.2">
      <c r="C54" s="298"/>
      <c r="D54" s="299"/>
      <c r="E54" s="300"/>
      <c r="F54" s="17"/>
      <c r="G54" s="18"/>
      <c r="H54" s="19"/>
      <c r="I54" s="19"/>
      <c r="J54" s="19"/>
      <c r="K54" s="19"/>
      <c r="L54" s="150"/>
      <c r="N54" s="310"/>
      <c r="O54" s="313"/>
    </row>
    <row r="55" spans="3:15" ht="18.75" customHeight="1" thickTop="1" x14ac:dyDescent="0.15">
      <c r="C55" s="298"/>
      <c r="D55" s="299"/>
      <c r="E55" s="300"/>
      <c r="F55" s="17"/>
      <c r="G55" s="18"/>
      <c r="H55" s="19"/>
      <c r="I55" s="19"/>
      <c r="J55" s="19"/>
      <c r="K55" s="19"/>
      <c r="L55" s="150"/>
    </row>
    <row r="56" spans="3:15" ht="18.75" customHeight="1" x14ac:dyDescent="0.15">
      <c r="C56" s="298"/>
      <c r="D56" s="299"/>
      <c r="E56" s="300"/>
      <c r="F56" s="17"/>
      <c r="G56" s="18"/>
      <c r="H56" s="19"/>
      <c r="I56" s="19"/>
      <c r="J56" s="19"/>
      <c r="K56" s="19"/>
      <c r="L56" s="150"/>
    </row>
    <row r="57" spans="3:15" ht="18.75" customHeight="1" thickBot="1" x14ac:dyDescent="0.2">
      <c r="C57" s="301"/>
      <c r="D57" s="302"/>
      <c r="E57" s="303"/>
      <c r="F57" s="20"/>
      <c r="G57" s="21"/>
      <c r="H57" s="22"/>
      <c r="I57" s="22"/>
      <c r="J57" s="22"/>
      <c r="K57" s="22"/>
      <c r="L57" s="150"/>
    </row>
    <row r="58" spans="3:15" ht="18.75" customHeight="1" thickTop="1" thickBot="1" x14ac:dyDescent="0.2">
      <c r="D58" s="146"/>
      <c r="E58" s="304" t="s">
        <v>11</v>
      </c>
      <c r="F58" s="304"/>
      <c r="G58" s="304"/>
      <c r="H58" s="160">
        <f>SUM(H52:H57)</f>
        <v>0</v>
      </c>
      <c r="I58" s="160">
        <f>SUM(I52:I57)</f>
        <v>0</v>
      </c>
      <c r="J58" s="160">
        <f>SUM(J52:J57)</f>
        <v>0</v>
      </c>
      <c r="K58" s="160">
        <f>SUM(K52:K57)</f>
        <v>0</v>
      </c>
      <c r="L58" s="150"/>
    </row>
    <row r="59" spans="3:15" ht="18.75" customHeight="1" thickTop="1" thickBot="1" x14ac:dyDescent="0.2">
      <c r="D59" s="146"/>
      <c r="E59" s="304" t="s">
        <v>12</v>
      </c>
      <c r="F59" s="304"/>
      <c r="G59" s="304"/>
      <c r="H59" s="159">
        <f>IF(H58&gt;0,1/H58,0)</f>
        <v>0</v>
      </c>
      <c r="I59" s="160">
        <f t="shared" ref="I59:K59" si="3">IF(I58&gt;0,1/I58,0)</f>
        <v>0</v>
      </c>
      <c r="J59" s="160">
        <f t="shared" si="3"/>
        <v>0</v>
      </c>
      <c r="K59" s="160">
        <f t="shared" si="3"/>
        <v>0</v>
      </c>
      <c r="L59" s="150"/>
      <c r="O59" s="306" t="s">
        <v>469</v>
      </c>
    </row>
    <row r="60" spans="3:15" ht="22.5" customHeight="1" thickTop="1" thickBot="1" x14ac:dyDescent="0.2">
      <c r="D60" s="161"/>
      <c r="E60" s="287" t="s">
        <v>230</v>
      </c>
      <c r="F60" s="287"/>
      <c r="G60" s="288"/>
      <c r="H60" s="162">
        <f>IF(SUM(H50:K50)&gt;0,(H59*H50+I59*I50+J59*J50+K59*K50)/SUM(H50:K50),0)</f>
        <v>0</v>
      </c>
      <c r="I60" s="150" t="s">
        <v>423</v>
      </c>
      <c r="J60" s="150"/>
      <c r="K60" s="150"/>
      <c r="L60" s="150"/>
      <c r="N60" s="120" t="s">
        <v>178</v>
      </c>
      <c r="O60" s="308"/>
    </row>
    <row r="61" spans="3:15" ht="9" customHeight="1" thickTop="1" thickBot="1" x14ac:dyDescent="0.2">
      <c r="K61" s="119"/>
      <c r="L61" s="119"/>
    </row>
    <row r="62" spans="3:15" ht="18.75" customHeight="1" thickTop="1" x14ac:dyDescent="0.15">
      <c r="C62" s="155" t="s">
        <v>476</v>
      </c>
      <c r="D62" s="151"/>
      <c r="H62" s="131" t="s">
        <v>13</v>
      </c>
      <c r="I62" s="131" t="s">
        <v>14</v>
      </c>
      <c r="J62" s="131" t="s">
        <v>15</v>
      </c>
      <c r="K62" s="131" t="s">
        <v>16</v>
      </c>
      <c r="L62" s="164"/>
      <c r="N62" s="120" t="s">
        <v>178</v>
      </c>
      <c r="O62" s="306" t="s">
        <v>431</v>
      </c>
    </row>
    <row r="63" spans="3:15" ht="18.75" customHeight="1" thickBot="1" x14ac:dyDescent="0.2">
      <c r="G63" s="131" t="s">
        <v>2</v>
      </c>
      <c r="H63" s="12"/>
      <c r="I63" s="12"/>
      <c r="J63" s="12"/>
      <c r="K63" s="12"/>
      <c r="L63" s="130"/>
      <c r="N63" s="163"/>
      <c r="O63" s="308"/>
    </row>
    <row r="64" spans="3:15" ht="33.75" customHeight="1" thickTop="1" thickBot="1" x14ac:dyDescent="0.2">
      <c r="C64" s="314" t="s">
        <v>3</v>
      </c>
      <c r="D64" s="315"/>
      <c r="E64" s="316"/>
      <c r="F64" s="125" t="s">
        <v>5</v>
      </c>
      <c r="G64" s="131" t="s">
        <v>4</v>
      </c>
      <c r="H64" s="125" t="s">
        <v>19</v>
      </c>
      <c r="I64" s="125" t="s">
        <v>19</v>
      </c>
      <c r="J64" s="125" t="s">
        <v>19</v>
      </c>
      <c r="K64" s="125" t="s">
        <v>19</v>
      </c>
      <c r="L64" s="126"/>
    </row>
    <row r="65" spans="3:15" ht="18.75" customHeight="1" thickTop="1" x14ac:dyDescent="0.15">
      <c r="C65" s="295"/>
      <c r="D65" s="296"/>
      <c r="E65" s="297"/>
      <c r="F65" s="14"/>
      <c r="G65" s="15"/>
      <c r="H65" s="16"/>
      <c r="I65" s="16"/>
      <c r="J65" s="16"/>
      <c r="K65" s="16"/>
      <c r="L65" s="150"/>
      <c r="N65" s="310" t="s">
        <v>178</v>
      </c>
      <c r="O65" s="311" t="s">
        <v>477</v>
      </c>
    </row>
    <row r="66" spans="3:15" ht="18.75" customHeight="1" x14ac:dyDescent="0.15">
      <c r="C66" s="298"/>
      <c r="D66" s="299"/>
      <c r="E66" s="300"/>
      <c r="F66" s="17"/>
      <c r="G66" s="18"/>
      <c r="H66" s="19"/>
      <c r="I66" s="19"/>
      <c r="J66" s="19"/>
      <c r="K66" s="19"/>
      <c r="L66" s="150"/>
      <c r="N66" s="310"/>
      <c r="O66" s="312"/>
    </row>
    <row r="67" spans="3:15" ht="18.75" customHeight="1" thickBot="1" x14ac:dyDescent="0.2">
      <c r="C67" s="298"/>
      <c r="D67" s="299"/>
      <c r="E67" s="300"/>
      <c r="F67" s="17"/>
      <c r="G67" s="18"/>
      <c r="H67" s="19"/>
      <c r="I67" s="19"/>
      <c r="J67" s="19"/>
      <c r="K67" s="19"/>
      <c r="L67" s="150"/>
      <c r="N67" s="310"/>
      <c r="O67" s="313"/>
    </row>
    <row r="68" spans="3:15" ht="18.75" customHeight="1" thickTop="1" x14ac:dyDescent="0.15">
      <c r="C68" s="298"/>
      <c r="D68" s="299"/>
      <c r="E68" s="300"/>
      <c r="F68" s="17"/>
      <c r="G68" s="18"/>
      <c r="H68" s="19"/>
      <c r="I68" s="19"/>
      <c r="J68" s="19"/>
      <c r="K68" s="19"/>
      <c r="L68" s="150"/>
    </row>
    <row r="69" spans="3:15" ht="18.75" customHeight="1" x14ac:dyDescent="0.15">
      <c r="C69" s="298"/>
      <c r="D69" s="299"/>
      <c r="E69" s="300"/>
      <c r="F69" s="17"/>
      <c r="G69" s="18"/>
      <c r="H69" s="19"/>
      <c r="I69" s="19"/>
      <c r="J69" s="19"/>
      <c r="K69" s="19"/>
      <c r="L69" s="150"/>
    </row>
    <row r="70" spans="3:15" ht="18.75" customHeight="1" thickBot="1" x14ac:dyDescent="0.2">
      <c r="C70" s="301"/>
      <c r="D70" s="302"/>
      <c r="E70" s="303"/>
      <c r="F70" s="20"/>
      <c r="G70" s="21"/>
      <c r="H70" s="22"/>
      <c r="I70" s="22"/>
      <c r="J70" s="22"/>
      <c r="K70" s="22"/>
      <c r="L70" s="150"/>
    </row>
    <row r="71" spans="3:15" ht="18.75" customHeight="1" thickTop="1" thickBot="1" x14ac:dyDescent="0.2">
      <c r="D71" s="146"/>
      <c r="E71" s="304" t="s">
        <v>11</v>
      </c>
      <c r="F71" s="304"/>
      <c r="G71" s="304"/>
      <c r="H71" s="160">
        <f>SUM(H65:H70)</f>
        <v>0</v>
      </c>
      <c r="I71" s="160">
        <f>SUM(I65:I70)</f>
        <v>0</v>
      </c>
      <c r="J71" s="160">
        <f>SUM(J65:J70)</f>
        <v>0</v>
      </c>
      <c r="K71" s="160">
        <f>SUM(K65:K70)</f>
        <v>0</v>
      </c>
      <c r="L71" s="150"/>
    </row>
    <row r="72" spans="3:15" ht="18.75" customHeight="1" thickTop="1" thickBot="1" x14ac:dyDescent="0.2">
      <c r="D72" s="146"/>
      <c r="E72" s="304" t="s">
        <v>12</v>
      </c>
      <c r="F72" s="304"/>
      <c r="G72" s="304"/>
      <c r="H72" s="159">
        <f>IF(H71&gt;0,1/H71,0)</f>
        <v>0</v>
      </c>
      <c r="I72" s="160">
        <f t="shared" ref="I72:K72" si="4">IF(I71&gt;0,1/I71,0)</f>
        <v>0</v>
      </c>
      <c r="J72" s="160">
        <f t="shared" si="4"/>
        <v>0</v>
      </c>
      <c r="K72" s="160">
        <f t="shared" si="4"/>
        <v>0</v>
      </c>
      <c r="L72" s="150"/>
      <c r="O72" s="306" t="s">
        <v>470</v>
      </c>
    </row>
    <row r="73" spans="3:15" ht="22.5" customHeight="1" thickTop="1" thickBot="1" x14ac:dyDescent="0.2">
      <c r="D73" s="161"/>
      <c r="E73" s="287" t="s">
        <v>230</v>
      </c>
      <c r="F73" s="287"/>
      <c r="G73" s="288"/>
      <c r="H73" s="162">
        <f>IF(SUM(H63:K63)&gt;0,(H72*H63+I72*I63+J72*J63+K72*K63)/SUM(H63:K63),0)</f>
        <v>0</v>
      </c>
      <c r="I73" s="150" t="s">
        <v>423</v>
      </c>
      <c r="J73" s="150"/>
      <c r="K73" s="150"/>
      <c r="L73" s="150"/>
      <c r="N73" s="120" t="s">
        <v>178</v>
      </c>
      <c r="O73" s="308"/>
    </row>
    <row r="74" spans="3:15" ht="9" customHeight="1" thickTop="1" thickBot="1" x14ac:dyDescent="0.2">
      <c r="K74" s="119"/>
      <c r="L74" s="119"/>
    </row>
    <row r="75" spans="3:15" ht="18.75" customHeight="1" thickTop="1" x14ac:dyDescent="0.15">
      <c r="C75" s="155" t="s">
        <v>478</v>
      </c>
      <c r="H75" s="131" t="s">
        <v>13</v>
      </c>
      <c r="I75" s="131" t="s">
        <v>14</v>
      </c>
      <c r="J75" s="131" t="s">
        <v>15</v>
      </c>
      <c r="K75" s="131" t="s">
        <v>16</v>
      </c>
      <c r="L75" s="164"/>
      <c r="N75" s="120" t="s">
        <v>178</v>
      </c>
      <c r="O75" s="306" t="s">
        <v>503</v>
      </c>
    </row>
    <row r="76" spans="3:15" ht="18.75" customHeight="1" x14ac:dyDescent="0.15">
      <c r="C76" s="165" t="s">
        <v>20</v>
      </c>
      <c r="D76" s="289" t="s">
        <v>432</v>
      </c>
      <c r="E76" s="290"/>
      <c r="F76" s="291"/>
      <c r="G76" s="131" t="s">
        <v>2</v>
      </c>
      <c r="H76" s="12"/>
      <c r="I76" s="12"/>
      <c r="J76" s="12"/>
      <c r="K76" s="12"/>
      <c r="L76" s="130"/>
      <c r="N76" s="156"/>
      <c r="O76" s="307"/>
    </row>
    <row r="77" spans="3:15" ht="33.75" customHeight="1" thickBot="1" x14ac:dyDescent="0.2">
      <c r="C77" s="292" t="s">
        <v>3</v>
      </c>
      <c r="D77" s="293"/>
      <c r="E77" s="294"/>
      <c r="F77" s="125" t="s">
        <v>5</v>
      </c>
      <c r="G77" s="131" t="s">
        <v>4</v>
      </c>
      <c r="H77" s="125" t="s">
        <v>19</v>
      </c>
      <c r="I77" s="125" t="s">
        <v>19</v>
      </c>
      <c r="J77" s="125" t="s">
        <v>19</v>
      </c>
      <c r="K77" s="125" t="s">
        <v>19</v>
      </c>
      <c r="L77" s="126"/>
      <c r="O77" s="308"/>
    </row>
    <row r="78" spans="3:15" ht="18.75" customHeight="1" thickTop="1" x14ac:dyDescent="0.15">
      <c r="C78" s="295"/>
      <c r="D78" s="296"/>
      <c r="E78" s="297"/>
      <c r="F78" s="14"/>
      <c r="G78" s="15"/>
      <c r="H78" s="16"/>
      <c r="I78" s="16"/>
      <c r="J78" s="16"/>
      <c r="K78" s="16"/>
      <c r="L78" s="150"/>
    </row>
    <row r="79" spans="3:15" ht="18.75" customHeight="1" x14ac:dyDescent="0.15">
      <c r="C79" s="298"/>
      <c r="D79" s="299"/>
      <c r="E79" s="300"/>
      <c r="F79" s="17"/>
      <c r="G79" s="18"/>
      <c r="H79" s="19"/>
      <c r="I79" s="19"/>
      <c r="J79" s="19"/>
      <c r="K79" s="19"/>
      <c r="L79" s="150"/>
    </row>
    <row r="80" spans="3:15" ht="18.75" customHeight="1" x14ac:dyDescent="0.15">
      <c r="C80" s="298"/>
      <c r="D80" s="299"/>
      <c r="E80" s="300"/>
      <c r="F80" s="17"/>
      <c r="G80" s="18"/>
      <c r="H80" s="19"/>
      <c r="I80" s="19"/>
      <c r="J80" s="19"/>
      <c r="K80" s="19"/>
      <c r="L80" s="150"/>
    </row>
    <row r="81" spans="3:15" ht="18.75" customHeight="1" x14ac:dyDescent="0.15">
      <c r="C81" s="298"/>
      <c r="D81" s="299"/>
      <c r="E81" s="300"/>
      <c r="F81" s="17"/>
      <c r="G81" s="18"/>
      <c r="H81" s="19"/>
      <c r="I81" s="19"/>
      <c r="J81" s="19"/>
      <c r="K81" s="19"/>
      <c r="L81" s="150"/>
    </row>
    <row r="82" spans="3:15" ht="18.75" customHeight="1" x14ac:dyDescent="0.15">
      <c r="C82" s="298"/>
      <c r="D82" s="299"/>
      <c r="E82" s="300"/>
      <c r="F82" s="17"/>
      <c r="G82" s="18"/>
      <c r="H82" s="19"/>
      <c r="I82" s="19"/>
      <c r="J82" s="19"/>
      <c r="K82" s="19"/>
      <c r="L82" s="150"/>
    </row>
    <row r="83" spans="3:15" ht="18.75" customHeight="1" thickBot="1" x14ac:dyDescent="0.2">
      <c r="C83" s="301"/>
      <c r="D83" s="302"/>
      <c r="E83" s="303"/>
      <c r="F83" s="20"/>
      <c r="G83" s="21"/>
      <c r="H83" s="22"/>
      <c r="I83" s="22"/>
      <c r="J83" s="22"/>
      <c r="K83" s="22"/>
      <c r="L83" s="150"/>
    </row>
    <row r="84" spans="3:15" ht="18.75" customHeight="1" thickTop="1" thickBot="1" x14ac:dyDescent="0.2">
      <c r="D84" s="146"/>
      <c r="E84" s="304" t="s">
        <v>11</v>
      </c>
      <c r="F84" s="304"/>
      <c r="G84" s="304"/>
      <c r="H84" s="160">
        <f>SUM(H78:H83)</f>
        <v>0</v>
      </c>
      <c r="I84" s="160">
        <f>SUM(I78:I83)</f>
        <v>0</v>
      </c>
      <c r="J84" s="160">
        <f>SUM(J78:J83)</f>
        <v>0</v>
      </c>
      <c r="K84" s="160">
        <f>SUM(K78:K83)</f>
        <v>0</v>
      </c>
      <c r="L84" s="150"/>
    </row>
    <row r="85" spans="3:15" ht="18.75" customHeight="1" thickTop="1" thickBot="1" x14ac:dyDescent="0.2">
      <c r="D85" s="146"/>
      <c r="E85" s="304" t="s">
        <v>12</v>
      </c>
      <c r="F85" s="304"/>
      <c r="G85" s="304"/>
      <c r="H85" s="159">
        <f>IF(H84&gt;0,1/H84,0)</f>
        <v>0</v>
      </c>
      <c r="I85" s="160">
        <f t="shared" ref="I85:K85" si="5">IF(I84&gt;0,1/I84,0)</f>
        <v>0</v>
      </c>
      <c r="J85" s="160">
        <f t="shared" si="5"/>
        <v>0</v>
      </c>
      <c r="K85" s="160">
        <f t="shared" si="5"/>
        <v>0</v>
      </c>
      <c r="L85" s="150"/>
      <c r="O85" s="306" t="s">
        <v>479</v>
      </c>
    </row>
    <row r="86" spans="3:15" ht="22.5" customHeight="1" thickTop="1" thickBot="1" x14ac:dyDescent="0.2">
      <c r="D86" s="161"/>
      <c r="E86" s="287" t="s">
        <v>230</v>
      </c>
      <c r="F86" s="287"/>
      <c r="G86" s="288"/>
      <c r="H86" s="162">
        <f>IF(SUM(H76:K76)&gt;0,(H85*H76+I85*I76+J85*J76+K85*K76)/SUM(H76:K76),0)</f>
        <v>0</v>
      </c>
      <c r="I86" s="150"/>
      <c r="J86" s="150"/>
      <c r="K86" s="150"/>
      <c r="L86" s="150"/>
      <c r="N86" s="120" t="s">
        <v>178</v>
      </c>
      <c r="O86" s="308"/>
    </row>
    <row r="87" spans="3:15" ht="7.5" customHeight="1" thickTop="1" x14ac:dyDescent="0.15">
      <c r="K87" s="119"/>
      <c r="L87" s="119"/>
    </row>
    <row r="88" spans="3:15" ht="9" customHeight="1" x14ac:dyDescent="0.15">
      <c r="K88" s="119"/>
      <c r="L88" s="119"/>
    </row>
    <row r="89" spans="3:15" ht="18.75" customHeight="1" x14ac:dyDescent="0.15">
      <c r="C89" s="155" t="s">
        <v>497</v>
      </c>
      <c r="H89" s="131" t="s">
        <v>13</v>
      </c>
      <c r="I89" s="131" t="s">
        <v>14</v>
      </c>
      <c r="J89" s="131" t="s">
        <v>15</v>
      </c>
      <c r="K89" s="131" t="s">
        <v>16</v>
      </c>
      <c r="L89" s="164"/>
    </row>
    <row r="90" spans="3:15" ht="18.75" customHeight="1" x14ac:dyDescent="0.15">
      <c r="C90" s="165" t="s">
        <v>20</v>
      </c>
      <c r="D90" s="289" t="s">
        <v>432</v>
      </c>
      <c r="E90" s="290"/>
      <c r="F90" s="291"/>
      <c r="G90" s="131" t="s">
        <v>2</v>
      </c>
      <c r="H90" s="12"/>
      <c r="I90" s="12"/>
      <c r="J90" s="12"/>
      <c r="K90" s="12"/>
      <c r="L90" s="130"/>
    </row>
    <row r="91" spans="3:15" ht="33.75" customHeight="1" x14ac:dyDescent="0.15">
      <c r="C91" s="292" t="s">
        <v>3</v>
      </c>
      <c r="D91" s="293"/>
      <c r="E91" s="294"/>
      <c r="F91" s="125" t="s">
        <v>5</v>
      </c>
      <c r="G91" s="131" t="s">
        <v>4</v>
      </c>
      <c r="H91" s="125" t="s">
        <v>19</v>
      </c>
      <c r="I91" s="125" t="s">
        <v>19</v>
      </c>
      <c r="J91" s="125" t="s">
        <v>19</v>
      </c>
      <c r="K91" s="125" t="s">
        <v>19</v>
      </c>
      <c r="L91" s="126"/>
    </row>
    <row r="92" spans="3:15" ht="18.75" customHeight="1" x14ac:dyDescent="0.15">
      <c r="C92" s="295"/>
      <c r="D92" s="296"/>
      <c r="E92" s="297"/>
      <c r="F92" s="14"/>
      <c r="G92" s="15"/>
      <c r="H92" s="16"/>
      <c r="I92" s="16"/>
      <c r="J92" s="16"/>
      <c r="K92" s="16"/>
      <c r="L92" s="150"/>
    </row>
    <row r="93" spans="3:15" ht="18.75" customHeight="1" x14ac:dyDescent="0.15">
      <c r="C93" s="298"/>
      <c r="D93" s="299"/>
      <c r="E93" s="300"/>
      <c r="F93" s="17"/>
      <c r="G93" s="18"/>
      <c r="H93" s="19"/>
      <c r="I93" s="19"/>
      <c r="J93" s="19"/>
      <c r="K93" s="19"/>
      <c r="L93" s="150"/>
    </row>
    <row r="94" spans="3:15" ht="18.75" customHeight="1" x14ac:dyDescent="0.15">
      <c r="C94" s="298"/>
      <c r="D94" s="299"/>
      <c r="E94" s="300"/>
      <c r="F94" s="17"/>
      <c r="G94" s="18"/>
      <c r="H94" s="19"/>
      <c r="I94" s="19"/>
      <c r="J94" s="19"/>
      <c r="K94" s="19"/>
      <c r="L94" s="150"/>
    </row>
    <row r="95" spans="3:15" ht="18.75" customHeight="1" x14ac:dyDescent="0.15">
      <c r="C95" s="298"/>
      <c r="D95" s="299"/>
      <c r="E95" s="300"/>
      <c r="F95" s="17"/>
      <c r="G95" s="18"/>
      <c r="H95" s="19"/>
      <c r="I95" s="19"/>
      <c r="J95" s="19"/>
      <c r="K95" s="19"/>
      <c r="L95" s="150"/>
    </row>
    <row r="96" spans="3:15" ht="18.75" customHeight="1" x14ac:dyDescent="0.15">
      <c r="C96" s="298"/>
      <c r="D96" s="299"/>
      <c r="E96" s="300"/>
      <c r="F96" s="17"/>
      <c r="G96" s="18"/>
      <c r="H96" s="19"/>
      <c r="I96" s="19"/>
      <c r="J96" s="19"/>
      <c r="K96" s="19"/>
      <c r="L96" s="150"/>
    </row>
    <row r="97" spans="3:12" ht="18.75" customHeight="1" thickBot="1" x14ac:dyDescent="0.2">
      <c r="C97" s="301"/>
      <c r="D97" s="302"/>
      <c r="E97" s="303"/>
      <c r="F97" s="20"/>
      <c r="G97" s="21"/>
      <c r="H97" s="22"/>
      <c r="I97" s="22"/>
      <c r="J97" s="22"/>
      <c r="K97" s="22"/>
      <c r="L97" s="150"/>
    </row>
    <row r="98" spans="3:12" ht="18.75" customHeight="1" thickTop="1" x14ac:dyDescent="0.15">
      <c r="D98" s="146"/>
      <c r="E98" s="304" t="s">
        <v>11</v>
      </c>
      <c r="F98" s="304"/>
      <c r="G98" s="304"/>
      <c r="H98" s="160">
        <f>SUM(H92:H97)</f>
        <v>0</v>
      </c>
      <c r="I98" s="160">
        <f>SUM(I92:I97)</f>
        <v>0</v>
      </c>
      <c r="J98" s="160">
        <f>SUM(J92:J97)</f>
        <v>0</v>
      </c>
      <c r="K98" s="160">
        <f>SUM(K92:K97)</f>
        <v>0</v>
      </c>
      <c r="L98" s="150"/>
    </row>
    <row r="99" spans="3:12" ht="18.75" customHeight="1" thickBot="1" x14ac:dyDescent="0.2">
      <c r="D99" s="146"/>
      <c r="E99" s="304" t="s">
        <v>12</v>
      </c>
      <c r="F99" s="304"/>
      <c r="G99" s="304"/>
      <c r="H99" s="159">
        <f>IF(H98&gt;0,1/H98,0)</f>
        <v>0</v>
      </c>
      <c r="I99" s="160">
        <f t="shared" ref="I99:K99" si="6">IF(I98&gt;0,1/I98,0)</f>
        <v>0</v>
      </c>
      <c r="J99" s="160">
        <f t="shared" si="6"/>
        <v>0</v>
      </c>
      <c r="K99" s="160">
        <f t="shared" si="6"/>
        <v>0</v>
      </c>
      <c r="L99" s="150"/>
    </row>
    <row r="100" spans="3:12" ht="22.5" customHeight="1" thickTop="1" thickBot="1" x14ac:dyDescent="0.2">
      <c r="D100" s="161"/>
      <c r="E100" s="287" t="s">
        <v>230</v>
      </c>
      <c r="F100" s="287"/>
      <c r="G100" s="288"/>
      <c r="H100" s="162">
        <f>IF(SUM(H90:K90)&gt;0,(H99*H90+I99*I90+J99*J90+K99*K90)/SUM(H90:K90),0)</f>
        <v>0</v>
      </c>
      <c r="I100" s="150"/>
      <c r="J100" s="150"/>
      <c r="K100" s="150"/>
      <c r="L100" s="150"/>
    </row>
    <row r="101" spans="3:12" ht="9" customHeight="1" thickTop="1" x14ac:dyDescent="0.15">
      <c r="K101" s="119"/>
      <c r="L101" s="119"/>
    </row>
    <row r="102" spans="3:12" ht="18.75" customHeight="1" x14ac:dyDescent="0.15">
      <c r="C102" s="155" t="s">
        <v>498</v>
      </c>
      <c r="H102" s="131" t="s">
        <v>13</v>
      </c>
      <c r="I102" s="131" t="s">
        <v>14</v>
      </c>
      <c r="J102" s="131" t="s">
        <v>15</v>
      </c>
      <c r="K102" s="131" t="s">
        <v>16</v>
      </c>
      <c r="L102" s="164"/>
    </row>
    <row r="103" spans="3:12" ht="18.75" customHeight="1" x14ac:dyDescent="0.15">
      <c r="C103" s="165" t="s">
        <v>20</v>
      </c>
      <c r="D103" s="289" t="s">
        <v>432</v>
      </c>
      <c r="E103" s="290"/>
      <c r="F103" s="291"/>
      <c r="G103" s="131" t="s">
        <v>2</v>
      </c>
      <c r="H103" s="12"/>
      <c r="I103" s="12"/>
      <c r="J103" s="12"/>
      <c r="K103" s="12"/>
      <c r="L103" s="130"/>
    </row>
    <row r="104" spans="3:12" ht="33.75" customHeight="1" x14ac:dyDescent="0.15">
      <c r="C104" s="292" t="s">
        <v>3</v>
      </c>
      <c r="D104" s="293"/>
      <c r="E104" s="294"/>
      <c r="F104" s="125" t="s">
        <v>5</v>
      </c>
      <c r="G104" s="131" t="s">
        <v>4</v>
      </c>
      <c r="H104" s="125" t="s">
        <v>19</v>
      </c>
      <c r="I104" s="125" t="s">
        <v>19</v>
      </c>
      <c r="J104" s="125" t="s">
        <v>19</v>
      </c>
      <c r="K104" s="125" t="s">
        <v>19</v>
      </c>
      <c r="L104" s="126"/>
    </row>
    <row r="105" spans="3:12" ht="18.75" customHeight="1" x14ac:dyDescent="0.15">
      <c r="C105" s="295"/>
      <c r="D105" s="296"/>
      <c r="E105" s="297"/>
      <c r="F105" s="14"/>
      <c r="G105" s="15"/>
      <c r="H105" s="16"/>
      <c r="I105" s="16"/>
      <c r="J105" s="16"/>
      <c r="K105" s="16"/>
      <c r="L105" s="150"/>
    </row>
    <row r="106" spans="3:12" ht="18.75" customHeight="1" x14ac:dyDescent="0.15">
      <c r="C106" s="298"/>
      <c r="D106" s="299"/>
      <c r="E106" s="300"/>
      <c r="F106" s="17"/>
      <c r="G106" s="18"/>
      <c r="H106" s="19"/>
      <c r="I106" s="19"/>
      <c r="J106" s="19"/>
      <c r="K106" s="19"/>
      <c r="L106" s="150"/>
    </row>
    <row r="107" spans="3:12" ht="18.75" customHeight="1" x14ac:dyDescent="0.15">
      <c r="C107" s="298"/>
      <c r="D107" s="299"/>
      <c r="E107" s="300"/>
      <c r="F107" s="17"/>
      <c r="G107" s="18"/>
      <c r="H107" s="19"/>
      <c r="I107" s="19"/>
      <c r="J107" s="19"/>
      <c r="K107" s="19"/>
      <c r="L107" s="150"/>
    </row>
    <row r="108" spans="3:12" ht="18.75" customHeight="1" x14ac:dyDescent="0.15">
      <c r="C108" s="298"/>
      <c r="D108" s="299"/>
      <c r="E108" s="300"/>
      <c r="F108" s="17"/>
      <c r="G108" s="18"/>
      <c r="H108" s="19"/>
      <c r="I108" s="19"/>
      <c r="J108" s="19"/>
      <c r="K108" s="19"/>
      <c r="L108" s="150"/>
    </row>
    <row r="109" spans="3:12" ht="18.75" customHeight="1" x14ac:dyDescent="0.15">
      <c r="C109" s="298"/>
      <c r="D109" s="299"/>
      <c r="E109" s="300"/>
      <c r="F109" s="17"/>
      <c r="G109" s="18"/>
      <c r="H109" s="19"/>
      <c r="I109" s="19"/>
      <c r="J109" s="19"/>
      <c r="K109" s="19"/>
      <c r="L109" s="150"/>
    </row>
    <row r="110" spans="3:12" ht="18.75" customHeight="1" thickBot="1" x14ac:dyDescent="0.2">
      <c r="C110" s="301"/>
      <c r="D110" s="302"/>
      <c r="E110" s="303"/>
      <c r="F110" s="20"/>
      <c r="G110" s="21"/>
      <c r="H110" s="22"/>
      <c r="I110" s="22"/>
      <c r="J110" s="22"/>
      <c r="K110" s="22"/>
      <c r="L110" s="150"/>
    </row>
    <row r="111" spans="3:12" ht="18.75" customHeight="1" thickTop="1" x14ac:dyDescent="0.15">
      <c r="D111" s="146"/>
      <c r="E111" s="304" t="s">
        <v>11</v>
      </c>
      <c r="F111" s="304"/>
      <c r="G111" s="304"/>
      <c r="H111" s="160">
        <f>SUM(H105:H110)</f>
        <v>0</v>
      </c>
      <c r="I111" s="160">
        <f>SUM(I105:I110)</f>
        <v>0</v>
      </c>
      <c r="J111" s="160">
        <f>SUM(J105:J110)</f>
        <v>0</v>
      </c>
      <c r="K111" s="160">
        <f>SUM(K105:K110)</f>
        <v>0</v>
      </c>
      <c r="L111" s="150"/>
    </row>
    <row r="112" spans="3:12" ht="18.75" customHeight="1" thickBot="1" x14ac:dyDescent="0.2">
      <c r="D112" s="146"/>
      <c r="E112" s="304" t="s">
        <v>12</v>
      </c>
      <c r="F112" s="304"/>
      <c r="G112" s="304"/>
      <c r="H112" s="159">
        <f>IF(H111&gt;0,1/H111,0)</f>
        <v>0</v>
      </c>
      <c r="I112" s="160">
        <f t="shared" ref="I112:K112" si="7">IF(I111&gt;0,1/I111,0)</f>
        <v>0</v>
      </c>
      <c r="J112" s="160">
        <f t="shared" si="7"/>
        <v>0</v>
      </c>
      <c r="K112" s="160">
        <f t="shared" si="7"/>
        <v>0</v>
      </c>
      <c r="L112" s="150"/>
    </row>
    <row r="113" spans="3:15" ht="22.5" customHeight="1" thickTop="1" thickBot="1" x14ac:dyDescent="0.2">
      <c r="D113" s="161"/>
      <c r="E113" s="287" t="s">
        <v>230</v>
      </c>
      <c r="F113" s="287"/>
      <c r="G113" s="288"/>
      <c r="H113" s="162">
        <f>IF(SUM(H103:K103)&gt;0,(H112*H103+I112*I103+J112*J103+K112*K103)/SUM(H103:K103),0)</f>
        <v>0</v>
      </c>
      <c r="I113" s="150"/>
      <c r="J113" s="150"/>
      <c r="K113" s="150"/>
      <c r="L113" s="150"/>
    </row>
    <row r="114" spans="3:15" ht="7.5" customHeight="1" thickTop="1" x14ac:dyDescent="0.15">
      <c r="K114" s="119"/>
      <c r="L114" s="119"/>
    </row>
    <row r="115" spans="3:15" ht="13.5" customHeight="1" thickBot="1" x14ac:dyDescent="0.2">
      <c r="L115" s="119"/>
    </row>
    <row r="116" spans="3:15" ht="20.25" thickTop="1" x14ac:dyDescent="0.15">
      <c r="C116" s="155" t="s">
        <v>455</v>
      </c>
      <c r="N116" s="309" t="s">
        <v>178</v>
      </c>
      <c r="O116" s="306" t="s">
        <v>501</v>
      </c>
    </row>
    <row r="117" spans="3:15" ht="20.25" customHeight="1" x14ac:dyDescent="0.15">
      <c r="C117" s="286" t="s">
        <v>454</v>
      </c>
      <c r="D117" s="305"/>
      <c r="E117" s="305"/>
      <c r="F117" s="305"/>
      <c r="G117" s="283" t="s">
        <v>486</v>
      </c>
      <c r="H117" s="284"/>
      <c r="I117" s="285" t="s">
        <v>490</v>
      </c>
      <c r="J117" s="285"/>
      <c r="K117" s="285"/>
      <c r="L117" s="113">
        <f>VLOOKUP(I117,Ψ値!$H$2:$I$6,2,FALSE)</f>
        <v>9999</v>
      </c>
      <c r="N117" s="309"/>
      <c r="O117" s="307"/>
    </row>
    <row r="118" spans="3:15" ht="20.25" customHeight="1" x14ac:dyDescent="0.15">
      <c r="C118" s="284" t="s">
        <v>488</v>
      </c>
      <c r="D118" s="284"/>
      <c r="E118" s="284"/>
      <c r="F118" s="286"/>
      <c r="G118" s="283" t="s">
        <v>486</v>
      </c>
      <c r="H118" s="284"/>
      <c r="I118" s="285" t="s">
        <v>490</v>
      </c>
      <c r="J118" s="285"/>
      <c r="K118" s="285"/>
      <c r="L118" s="113">
        <f>VLOOKUP(I118,Ψ値!$K$2:$L$8,2,FALSE)</f>
        <v>9999</v>
      </c>
      <c r="N118" s="309"/>
      <c r="O118" s="307"/>
    </row>
    <row r="119" spans="3:15" ht="20.25" customHeight="1" x14ac:dyDescent="0.15">
      <c r="C119" s="284" t="str">
        <f>IF(I117="布基礎・土間下断熱","T:基礎壁の内側から土間床を貫通する断熱材の熱抵抗","N:基礎壁内側の断熱材の熱抵抗")</f>
        <v>N:基礎壁内側の断熱材の熱抵抗</v>
      </c>
      <c r="D119" s="284"/>
      <c r="E119" s="284"/>
      <c r="F119" s="286"/>
      <c r="G119" s="283" t="s">
        <v>486</v>
      </c>
      <c r="H119" s="284"/>
      <c r="I119" s="285" t="s">
        <v>490</v>
      </c>
      <c r="J119" s="285"/>
      <c r="K119" s="285"/>
      <c r="L119" s="113">
        <f>VLOOKUP(I119,Ψ値!$N$2:$O$8,2,FALSE)</f>
        <v>9999</v>
      </c>
      <c r="N119" s="309"/>
      <c r="O119" s="307"/>
    </row>
    <row r="120" spans="3:15" ht="20.25" customHeight="1" thickBot="1" x14ac:dyDescent="0.2">
      <c r="C120" s="281" t="str">
        <f>IF(COUNTIF(I117,"*土間上*"),"Q:土間床上の断熱材の水平長さ","S:土間床下の断熱材の水平長さ")</f>
        <v>S:土間床下の断熱材の水平長さ</v>
      </c>
      <c r="D120" s="282"/>
      <c r="E120" s="282"/>
      <c r="F120" s="282"/>
      <c r="G120" s="283" t="s">
        <v>487</v>
      </c>
      <c r="H120" s="284"/>
      <c r="I120" s="285" t="s">
        <v>490</v>
      </c>
      <c r="J120" s="285"/>
      <c r="K120" s="285"/>
      <c r="L120" s="113">
        <f>IF(OR(I120=Ψ値!$B$3,I121=Ψ値!$E$3),3,VLOOKUP(I120,Ψ値!$B$2:$C$6,2,FALSE))</f>
        <v>9999</v>
      </c>
      <c r="O120" s="308"/>
    </row>
    <row r="121" spans="3:15" ht="20.25" customHeight="1" thickTop="1" thickBot="1" x14ac:dyDescent="0.2">
      <c r="C121" s="284" t="str">
        <f>IF(COUNTIF(I117,"*土間上*"),"O:土間床上の断熱材の熱抵抗","R:土間床下の断熱材の熱抵抗")</f>
        <v>R:土間床下の断熱材の熱抵抗</v>
      </c>
      <c r="D121" s="284"/>
      <c r="E121" s="284"/>
      <c r="F121" s="286"/>
      <c r="G121" s="283" t="s">
        <v>486</v>
      </c>
      <c r="H121" s="284"/>
      <c r="I121" s="285" t="s">
        <v>490</v>
      </c>
      <c r="J121" s="285"/>
      <c r="K121" s="285"/>
      <c r="L121" s="113">
        <f>IF(OR(I120=Ψ値!$B$3,I121=Ψ値!$E$3),0,VLOOKUP(I121,Ψ値!$E$2:$F$8,2,FALSE))</f>
        <v>9999</v>
      </c>
      <c r="O121" s="306" t="s">
        <v>499</v>
      </c>
    </row>
    <row r="122" spans="3:15" ht="22.5" customHeight="1" thickTop="1" thickBot="1" x14ac:dyDescent="0.2">
      <c r="F122" s="287" t="s">
        <v>494</v>
      </c>
      <c r="G122" s="287"/>
      <c r="H122" s="288"/>
      <c r="I122" s="108" cm="1">
        <f t="array" ref="I122">IF(AND(K122&lt;=164,L122&lt;=18),INDEX(Ψ値!$A$1:$R$163,K122,L122),0.99)</f>
        <v>0.99</v>
      </c>
      <c r="K122" s="113">
        <f>SUM(L117:L119)</f>
        <v>29997</v>
      </c>
      <c r="L122" s="113">
        <f>SUM(L120:L121)</f>
        <v>19998</v>
      </c>
      <c r="N122" s="120" t="s">
        <v>178</v>
      </c>
      <c r="O122" s="308"/>
    </row>
    <row r="123" spans="3:15" ht="8.25" customHeight="1" thickTop="1" thickBot="1" x14ac:dyDescent="0.2"/>
    <row r="124" spans="3:15" ht="20.25" thickTop="1" x14ac:dyDescent="0.15">
      <c r="C124" s="155" t="s">
        <v>495</v>
      </c>
      <c r="N124" s="120" t="s">
        <v>178</v>
      </c>
      <c r="O124" s="306" t="s">
        <v>502</v>
      </c>
    </row>
    <row r="125" spans="3:15" ht="20.25" customHeight="1" x14ac:dyDescent="0.15">
      <c r="C125" s="286" t="s">
        <v>454</v>
      </c>
      <c r="D125" s="305"/>
      <c r="E125" s="305"/>
      <c r="F125" s="305"/>
      <c r="G125" s="283" t="s">
        <v>486</v>
      </c>
      <c r="H125" s="284"/>
      <c r="I125" s="285" t="s">
        <v>490</v>
      </c>
      <c r="J125" s="285"/>
      <c r="K125" s="285"/>
      <c r="L125" s="113">
        <f>VLOOKUP(I125,Ψ値!$H$2:$I$6,2,FALSE)</f>
        <v>9999</v>
      </c>
      <c r="N125" s="156"/>
      <c r="O125" s="307"/>
    </row>
    <row r="126" spans="3:15" ht="20.25" customHeight="1" thickBot="1" x14ac:dyDescent="0.2">
      <c r="C126" s="284" t="s">
        <v>488</v>
      </c>
      <c r="D126" s="284"/>
      <c r="E126" s="284"/>
      <c r="F126" s="286"/>
      <c r="G126" s="283" t="s">
        <v>486</v>
      </c>
      <c r="H126" s="284"/>
      <c r="I126" s="285" t="s">
        <v>490</v>
      </c>
      <c r="J126" s="285"/>
      <c r="K126" s="285"/>
      <c r="L126" s="113">
        <f>VLOOKUP(I126,Ψ値!$K$2:$L$8,2,FALSE)</f>
        <v>9999</v>
      </c>
      <c r="O126" s="308"/>
    </row>
    <row r="127" spans="3:15" ht="20.25" customHeight="1" thickTop="1" x14ac:dyDescent="0.15">
      <c r="C127" s="284" t="str">
        <f>IF(I125="布基礎・土間下断熱","T:基礎壁の内側から土間床を貫通する断熱材の熱抵抗","N:基礎壁内側の断熱材の熱抵抗")</f>
        <v>N:基礎壁内側の断熱材の熱抵抗</v>
      </c>
      <c r="D127" s="284"/>
      <c r="E127" s="284"/>
      <c r="F127" s="286"/>
      <c r="G127" s="283" t="s">
        <v>486</v>
      </c>
      <c r="H127" s="284"/>
      <c r="I127" s="285" t="s">
        <v>490</v>
      </c>
      <c r="J127" s="285"/>
      <c r="K127" s="285"/>
      <c r="L127" s="113">
        <f>VLOOKUP(I127,Ψ値!$N$2:$O$8,2,FALSE)</f>
        <v>9999</v>
      </c>
    </row>
    <row r="128" spans="3:15" ht="20.25" customHeight="1" x14ac:dyDescent="0.15">
      <c r="C128" s="281" t="str">
        <f>IF(COUNTIF(I125,"*土間上*"),"Q:土間床上の断熱材の水平長さ","S:土間床下の断熱材の水平長さ")</f>
        <v>S:土間床下の断熱材の水平長さ</v>
      </c>
      <c r="D128" s="282"/>
      <c r="E128" s="282"/>
      <c r="F128" s="282"/>
      <c r="G128" s="283" t="s">
        <v>487</v>
      </c>
      <c r="H128" s="284"/>
      <c r="I128" s="285" t="s">
        <v>490</v>
      </c>
      <c r="J128" s="285"/>
      <c r="K128" s="285"/>
      <c r="L128" s="113">
        <f>IF(OR(I128=Ψ値!$B$3,I129=Ψ値!$E$3),3,VLOOKUP(I128,Ψ値!$B$2:$C$6,2,FALSE))</f>
        <v>9999</v>
      </c>
    </row>
    <row r="129" spans="3:12" ht="20.25" customHeight="1" thickBot="1" x14ac:dyDescent="0.2">
      <c r="C129" s="284" t="str">
        <f>IF(COUNTIF(I125,"*土間上*"),"O:土間床上の断熱材の熱抵抗","R:土間床下の断熱材の熱抵抗")</f>
        <v>R:土間床下の断熱材の熱抵抗</v>
      </c>
      <c r="D129" s="284"/>
      <c r="E129" s="284"/>
      <c r="F129" s="286"/>
      <c r="G129" s="283" t="s">
        <v>486</v>
      </c>
      <c r="H129" s="284"/>
      <c r="I129" s="285" t="s">
        <v>490</v>
      </c>
      <c r="J129" s="285"/>
      <c r="K129" s="285"/>
      <c r="L129" s="113">
        <f>IF(OR(I128=Ψ値!$B$3,I129=Ψ値!$E$3),0,VLOOKUP(I129,Ψ値!$E$2:$F$8,2,FALSE))</f>
        <v>9999</v>
      </c>
    </row>
    <row r="130" spans="3:12" ht="22.5" customHeight="1" thickTop="1" thickBot="1" x14ac:dyDescent="0.2">
      <c r="F130" s="287" t="s">
        <v>494</v>
      </c>
      <c r="G130" s="287"/>
      <c r="H130" s="288"/>
      <c r="I130" s="108" cm="1">
        <f t="array" ref="I130">IF(AND(K130&lt;=164,L130&lt;=18),INDEX(Ψ値!$A$1:$R$163,K130,L130),0.99)</f>
        <v>0.99</v>
      </c>
      <c r="K130" s="113">
        <f>SUM(L125:L127)</f>
        <v>29997</v>
      </c>
      <c r="L130" s="113">
        <f>SUM(L128:L129)</f>
        <v>19998</v>
      </c>
    </row>
    <row r="131" spans="3:12" ht="5.25" customHeight="1" thickTop="1" x14ac:dyDescent="0.15"/>
    <row r="132" spans="3:12" ht="20.25" customHeight="1" x14ac:dyDescent="0.15">
      <c r="C132" s="155" t="s">
        <v>496</v>
      </c>
    </row>
    <row r="133" spans="3:12" ht="20.25" customHeight="1" x14ac:dyDescent="0.15">
      <c r="C133" s="286" t="s">
        <v>454</v>
      </c>
      <c r="D133" s="305"/>
      <c r="E133" s="305"/>
      <c r="F133" s="305"/>
      <c r="G133" s="283" t="s">
        <v>486</v>
      </c>
      <c r="H133" s="284"/>
      <c r="I133" s="285" t="s">
        <v>490</v>
      </c>
      <c r="J133" s="285"/>
      <c r="K133" s="285"/>
      <c r="L133" s="113">
        <f>VLOOKUP(I133,Ψ値!$H$2:$I$6,2,FALSE)</f>
        <v>9999</v>
      </c>
    </row>
    <row r="134" spans="3:12" ht="20.25" customHeight="1" x14ac:dyDescent="0.15">
      <c r="C134" s="284" t="s">
        <v>488</v>
      </c>
      <c r="D134" s="284"/>
      <c r="E134" s="284"/>
      <c r="F134" s="286"/>
      <c r="G134" s="283" t="s">
        <v>486</v>
      </c>
      <c r="H134" s="284"/>
      <c r="I134" s="285" t="s">
        <v>490</v>
      </c>
      <c r="J134" s="285"/>
      <c r="K134" s="285"/>
      <c r="L134" s="113">
        <f>VLOOKUP(I134,Ψ値!$K$2:$L$8,2,FALSE)</f>
        <v>9999</v>
      </c>
    </row>
    <row r="135" spans="3:12" ht="20.25" customHeight="1" x14ac:dyDescent="0.15">
      <c r="C135" s="284" t="str">
        <f>IF(I133="布基礎・土間下断熱","T:基礎壁の内側から土間床を貫通する断熱材の熱抵抗","N:基礎壁内側の断熱材の熱抵抗")</f>
        <v>N:基礎壁内側の断熱材の熱抵抗</v>
      </c>
      <c r="D135" s="284"/>
      <c r="E135" s="284"/>
      <c r="F135" s="286"/>
      <c r="G135" s="283" t="s">
        <v>486</v>
      </c>
      <c r="H135" s="284"/>
      <c r="I135" s="285" t="s">
        <v>490</v>
      </c>
      <c r="J135" s="285"/>
      <c r="K135" s="285"/>
      <c r="L135" s="113">
        <f>VLOOKUP(I135,Ψ値!$N$2:$O$8,2,FALSE)</f>
        <v>9999</v>
      </c>
    </row>
    <row r="136" spans="3:12" ht="20.25" customHeight="1" x14ac:dyDescent="0.15">
      <c r="C136" s="281" t="str">
        <f>IF(COUNTIF(I133,"*土間上*"),"Q:土間床上の断熱材の水平長さ","S:土間床下の断熱材の水平長さ")</f>
        <v>S:土間床下の断熱材の水平長さ</v>
      </c>
      <c r="D136" s="282"/>
      <c r="E136" s="282"/>
      <c r="F136" s="282"/>
      <c r="G136" s="283" t="s">
        <v>487</v>
      </c>
      <c r="H136" s="284"/>
      <c r="I136" s="285" t="s">
        <v>490</v>
      </c>
      <c r="J136" s="285"/>
      <c r="K136" s="285"/>
      <c r="L136" s="113">
        <f>IF(OR(I136=Ψ値!$B$3,I137=Ψ値!$E$3),3,VLOOKUP(I136,Ψ値!$B$2:$C$6,2,FALSE))</f>
        <v>9999</v>
      </c>
    </row>
    <row r="137" spans="3:12" ht="20.25" customHeight="1" thickBot="1" x14ac:dyDescent="0.2">
      <c r="C137" s="284" t="str">
        <f>IF(COUNTIF(I133,"*土間上*"),"O:土間床上の断熱材の熱抵抗","R:土間床下の断熱材の熱抵抗")</f>
        <v>R:土間床下の断熱材の熱抵抗</v>
      </c>
      <c r="D137" s="284"/>
      <c r="E137" s="284"/>
      <c r="F137" s="286"/>
      <c r="G137" s="283" t="s">
        <v>486</v>
      </c>
      <c r="H137" s="284"/>
      <c r="I137" s="285" t="s">
        <v>490</v>
      </c>
      <c r="J137" s="285"/>
      <c r="K137" s="285"/>
      <c r="L137" s="113">
        <f>IF(OR(I136=Ψ値!$B$3,I137=Ψ値!$E$3),0,VLOOKUP(I137,Ψ値!$E$2:$F$8,2,FALSE))</f>
        <v>9999</v>
      </c>
    </row>
    <row r="138" spans="3:12" ht="22.5" customHeight="1" thickTop="1" thickBot="1" x14ac:dyDescent="0.2">
      <c r="F138" s="287" t="s">
        <v>494</v>
      </c>
      <c r="G138" s="287"/>
      <c r="H138" s="288"/>
      <c r="I138" s="108" cm="1">
        <f t="array" ref="I138">IF(AND(K138&lt;=164,L138&lt;=18),INDEX(Ψ値!$A$1:$R$163,K138,L138),0.99)</f>
        <v>0.99</v>
      </c>
      <c r="K138" s="113">
        <f>SUM(L133:L135)</f>
        <v>29997</v>
      </c>
      <c r="L138" s="113">
        <f>SUM(L136:L137)</f>
        <v>19998</v>
      </c>
    </row>
    <row r="139" spans="3:12" ht="19.5" thickTop="1" x14ac:dyDescent="0.15"/>
  </sheetData>
  <sheetProtection algorithmName="SHA-512" hashValue="yA2SvWzxA5jtjTzDErzYCMKnn7SSh1xj2lYeM6rwZyl61NSQfJLeaSAox/3ps5RCUKb95daxZj3s5ok/wCo4mQ==" saltValue="xlMUYh4Z1/WfLROU70RNtw==" spinCount="100000" sheet="1" objects="1" scenarios="1"/>
  <mergeCells count="175">
    <mergeCell ref="E86:G86"/>
    <mergeCell ref="I121:K121"/>
    <mergeCell ref="I117:K117"/>
    <mergeCell ref="I118:K118"/>
    <mergeCell ref="I119:K119"/>
    <mergeCell ref="I120:K120"/>
    <mergeCell ref="O85:O86"/>
    <mergeCell ref="O21:O22"/>
    <mergeCell ref="O36:O37"/>
    <mergeCell ref="N21:N22"/>
    <mergeCell ref="O75:O77"/>
    <mergeCell ref="O46:O47"/>
    <mergeCell ref="O49:O50"/>
    <mergeCell ref="O59:O60"/>
    <mergeCell ref="O33:O34"/>
    <mergeCell ref="O62:O63"/>
    <mergeCell ref="O72:O73"/>
    <mergeCell ref="O24:O26"/>
    <mergeCell ref="O27:O29"/>
    <mergeCell ref="O39:O41"/>
    <mergeCell ref="O52:O54"/>
    <mergeCell ref="N24:N26"/>
    <mergeCell ref="N39:N41"/>
    <mergeCell ref="N52:N54"/>
    <mergeCell ref="K1:L1"/>
    <mergeCell ref="O19:O20"/>
    <mergeCell ref="G7:K7"/>
    <mergeCell ref="C10:E10"/>
    <mergeCell ref="C12:E12"/>
    <mergeCell ref="C13:E13"/>
    <mergeCell ref="N4:N5"/>
    <mergeCell ref="O4:O5"/>
    <mergeCell ref="B4:D5"/>
    <mergeCell ref="N2:N3"/>
    <mergeCell ref="E17:G17"/>
    <mergeCell ref="E18:G18"/>
    <mergeCell ref="E19:G19"/>
    <mergeCell ref="G2:K2"/>
    <mergeCell ref="B6:L6"/>
    <mergeCell ref="N12:N15"/>
    <mergeCell ref="O10:O11"/>
    <mergeCell ref="O16:O18"/>
    <mergeCell ref="N17:N18"/>
    <mergeCell ref="C16:E16"/>
    <mergeCell ref="O7:O9"/>
    <mergeCell ref="O12:O15"/>
    <mergeCell ref="E3:L3"/>
    <mergeCell ref="C11:E11"/>
    <mergeCell ref="A1:J1"/>
    <mergeCell ref="C27:E27"/>
    <mergeCell ref="C54:E54"/>
    <mergeCell ref="C51:E51"/>
    <mergeCell ref="C52:E52"/>
    <mergeCell ref="C41:E41"/>
    <mergeCell ref="C44:E44"/>
    <mergeCell ref="C28:E28"/>
    <mergeCell ref="E45:G45"/>
    <mergeCell ref="E46:G46"/>
    <mergeCell ref="E47:G47"/>
    <mergeCell ref="C43:E43"/>
    <mergeCell ref="C38:E38"/>
    <mergeCell ref="C40:E40"/>
    <mergeCell ref="E32:G32"/>
    <mergeCell ref="B3:D3"/>
    <mergeCell ref="C14:E14"/>
    <mergeCell ref="C15:E15"/>
    <mergeCell ref="C30:E30"/>
    <mergeCell ref="C31:E31"/>
    <mergeCell ref="C25:E25"/>
    <mergeCell ref="C23:E23"/>
    <mergeCell ref="E33:G33"/>
    <mergeCell ref="E34:G34"/>
    <mergeCell ref="C70:E70"/>
    <mergeCell ref="E71:G71"/>
    <mergeCell ref="E58:G58"/>
    <mergeCell ref="C56:E56"/>
    <mergeCell ref="C55:E55"/>
    <mergeCell ref="C39:E39"/>
    <mergeCell ref="C53:E53"/>
    <mergeCell ref="C24:E24"/>
    <mergeCell ref="C26:E26"/>
    <mergeCell ref="C29:E29"/>
    <mergeCell ref="C42:E42"/>
    <mergeCell ref="C57:E57"/>
    <mergeCell ref="E60:G60"/>
    <mergeCell ref="E59:G59"/>
    <mergeCell ref="C64:E64"/>
    <mergeCell ref="C65:E65"/>
    <mergeCell ref="C66:E66"/>
    <mergeCell ref="C107:E107"/>
    <mergeCell ref="C108:E108"/>
    <mergeCell ref="C109:E109"/>
    <mergeCell ref="C110:E110"/>
    <mergeCell ref="E111:G111"/>
    <mergeCell ref="E112:G112"/>
    <mergeCell ref="E113:G113"/>
    <mergeCell ref="N65:N67"/>
    <mergeCell ref="O65:O67"/>
    <mergeCell ref="C77:E77"/>
    <mergeCell ref="E72:G72"/>
    <mergeCell ref="D76:F76"/>
    <mergeCell ref="E73:G73"/>
    <mergeCell ref="C67:E67"/>
    <mergeCell ref="C68:E68"/>
    <mergeCell ref="C69:E69"/>
    <mergeCell ref="C78:E78"/>
    <mergeCell ref="C81:E81"/>
    <mergeCell ref="C82:E82"/>
    <mergeCell ref="C83:E83"/>
    <mergeCell ref="C80:E80"/>
    <mergeCell ref="C79:E79"/>
    <mergeCell ref="E84:G84"/>
    <mergeCell ref="E85:G85"/>
    <mergeCell ref="C127:F127"/>
    <mergeCell ref="G127:H127"/>
    <mergeCell ref="I127:K127"/>
    <mergeCell ref="C117:F117"/>
    <mergeCell ref="C118:F118"/>
    <mergeCell ref="C119:F119"/>
    <mergeCell ref="C120:F120"/>
    <mergeCell ref="C121:F121"/>
    <mergeCell ref="G117:H117"/>
    <mergeCell ref="G118:H118"/>
    <mergeCell ref="G119:H119"/>
    <mergeCell ref="G120:H120"/>
    <mergeCell ref="G121:H121"/>
    <mergeCell ref="F122:H122"/>
    <mergeCell ref="O116:O120"/>
    <mergeCell ref="N116:N119"/>
    <mergeCell ref="O121:O122"/>
    <mergeCell ref="O124:O126"/>
    <mergeCell ref="C125:F125"/>
    <mergeCell ref="G125:H125"/>
    <mergeCell ref="I125:K125"/>
    <mergeCell ref="C126:F126"/>
    <mergeCell ref="G126:H126"/>
    <mergeCell ref="I126:K126"/>
    <mergeCell ref="I133:K133"/>
    <mergeCell ref="C134:F134"/>
    <mergeCell ref="G134:H134"/>
    <mergeCell ref="I134:K134"/>
    <mergeCell ref="C135:F135"/>
    <mergeCell ref="G135:H135"/>
    <mergeCell ref="I135:K135"/>
    <mergeCell ref="C128:F128"/>
    <mergeCell ref="G128:H128"/>
    <mergeCell ref="I128:K128"/>
    <mergeCell ref="C129:F129"/>
    <mergeCell ref="G129:H129"/>
    <mergeCell ref="I129:K129"/>
    <mergeCell ref="F130:H130"/>
    <mergeCell ref="C136:F136"/>
    <mergeCell ref="G136:H136"/>
    <mergeCell ref="I136:K136"/>
    <mergeCell ref="C137:F137"/>
    <mergeCell ref="G137:H137"/>
    <mergeCell ref="I137:K137"/>
    <mergeCell ref="F138:H138"/>
    <mergeCell ref="D90:F90"/>
    <mergeCell ref="C91:E91"/>
    <mergeCell ref="C92:E92"/>
    <mergeCell ref="C93:E93"/>
    <mergeCell ref="C94:E94"/>
    <mergeCell ref="C95:E95"/>
    <mergeCell ref="C96:E96"/>
    <mergeCell ref="C97:E97"/>
    <mergeCell ref="E98:G98"/>
    <mergeCell ref="E99:G99"/>
    <mergeCell ref="E100:G100"/>
    <mergeCell ref="D103:F103"/>
    <mergeCell ref="C104:E104"/>
    <mergeCell ref="C105:E105"/>
    <mergeCell ref="C106:E106"/>
    <mergeCell ref="C133:F133"/>
    <mergeCell ref="G133:H133"/>
  </mergeCells>
  <phoneticPr fontId="2"/>
  <dataValidations count="6">
    <dataValidation type="list" allowBlank="1" showInputMessage="1" showErrorMessage="1" sqref="F4:F5 H4:H5 J4:J5 L4:L5" xr:uid="{754D9332-BA50-47AD-8243-595F46924854}">
      <formula1>"適用する,-"</formula1>
    </dataValidation>
    <dataValidation type="list" allowBlank="1" showInputMessage="1" showErrorMessage="1" sqref="I119:K119 I127:K127 I135:K135" xr:uid="{CAF7FC20-A7C4-4D58-8D18-5B96FAC9F155}">
      <formula1>NTの選択肢</formula1>
    </dataValidation>
    <dataValidation type="list" allowBlank="1" showInputMessage="1" showErrorMessage="1" sqref="I120:K120 I128:K128 I136:K136" xr:uid="{F6DB1170-E6D2-455D-BED6-1C9ED0A2AE1D}">
      <formula1>QSの選択肢</formula1>
    </dataValidation>
    <dataValidation type="list" allowBlank="1" showInputMessage="1" showErrorMessage="1" sqref="I121:K121 I129:K129 I137:K137" xr:uid="{E3EE892B-4033-430F-AB20-10621004D4BD}">
      <formula1>ORの選択肢</formula1>
    </dataValidation>
    <dataValidation type="list" allowBlank="1" showInputMessage="1" showErrorMessage="1" sqref="I117:K117 I125:K125 I133:K133" xr:uid="{EE3BFED4-1EEA-4ED4-A04C-BA9D45033F63}">
      <formula1>基礎形状</formula1>
    </dataValidation>
    <dataValidation type="list" allowBlank="1" showInputMessage="1" showErrorMessage="1" sqref="I118:K118 I126:K126 I134:K134" xr:uid="{1A077CD5-F0CC-4D1C-B24A-903A1DD20C14}">
      <formula1>Mの選択肢</formula1>
    </dataValidation>
  </dataValidations>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C56ED-841C-454C-BBB9-1FC66EFC7E4E}">
  <dimension ref="A1:R163"/>
  <sheetViews>
    <sheetView zoomScaleNormal="100" workbookViewId="0">
      <selection activeCell="J3" sqref="J3"/>
    </sheetView>
  </sheetViews>
  <sheetFormatPr defaultColWidth="6.5" defaultRowHeight="18" customHeight="1" x14ac:dyDescent="0.15"/>
  <cols>
    <col min="1" max="1" width="9.375" style="8" customWidth="1"/>
    <col min="2" max="2" width="12.875" style="8" customWidth="1"/>
    <col min="3" max="16" width="6.5" style="8"/>
  </cols>
  <sheetData>
    <row r="1" spans="1:18" ht="18" customHeight="1" x14ac:dyDescent="0.15">
      <c r="B1" s="8" t="s">
        <v>491</v>
      </c>
      <c r="E1" s="8" t="s">
        <v>492</v>
      </c>
      <c r="H1" s="8" t="s">
        <v>464</v>
      </c>
      <c r="K1" s="8" t="s">
        <v>485</v>
      </c>
      <c r="N1" s="8" t="s">
        <v>489</v>
      </c>
      <c r="P1"/>
    </row>
    <row r="2" spans="1:18" ht="18" customHeight="1" x14ac:dyDescent="0.15">
      <c r="B2" s="8" t="s">
        <v>490</v>
      </c>
      <c r="C2" s="8">
        <v>9999</v>
      </c>
      <c r="E2" s="8" t="s">
        <v>490</v>
      </c>
      <c r="F2" s="8">
        <v>9999</v>
      </c>
      <c r="H2" s="8" t="s">
        <v>490</v>
      </c>
      <c r="I2" s="8">
        <v>9999</v>
      </c>
      <c r="K2" s="8" t="s">
        <v>490</v>
      </c>
      <c r="L2" s="8">
        <v>9999</v>
      </c>
      <c r="N2" s="8" t="s">
        <v>490</v>
      </c>
      <c r="O2" s="8">
        <v>9999</v>
      </c>
      <c r="P2"/>
    </row>
    <row r="3" spans="1:18" ht="18" customHeight="1" x14ac:dyDescent="0.15">
      <c r="B3" s="8" t="s">
        <v>451</v>
      </c>
      <c r="C3" s="8">
        <v>3</v>
      </c>
      <c r="E3" s="8" t="s">
        <v>456</v>
      </c>
      <c r="F3" s="8">
        <v>0</v>
      </c>
      <c r="H3" s="8" t="s">
        <v>460</v>
      </c>
      <c r="I3" s="8">
        <v>11</v>
      </c>
      <c r="K3" s="8" t="s">
        <v>456</v>
      </c>
      <c r="L3" s="8">
        <v>0</v>
      </c>
      <c r="N3" s="8" t="s">
        <v>456</v>
      </c>
      <c r="O3" s="8">
        <v>0</v>
      </c>
      <c r="P3"/>
    </row>
    <row r="4" spans="1:18" ht="18" customHeight="1" x14ac:dyDescent="0.15">
      <c r="B4" s="8" t="s">
        <v>448</v>
      </c>
      <c r="C4" s="8">
        <v>4</v>
      </c>
      <c r="E4" s="8" t="s">
        <v>443</v>
      </c>
      <c r="F4" s="8">
        <v>0</v>
      </c>
      <c r="H4" s="8" t="s">
        <v>461</v>
      </c>
      <c r="I4" s="8">
        <v>50</v>
      </c>
      <c r="K4" s="8" t="s">
        <v>443</v>
      </c>
      <c r="L4" s="8">
        <v>6</v>
      </c>
      <c r="N4" s="8" t="s">
        <v>443</v>
      </c>
      <c r="O4" s="8">
        <v>1</v>
      </c>
      <c r="P4"/>
    </row>
    <row r="5" spans="1:18" ht="18" customHeight="1" x14ac:dyDescent="0.15">
      <c r="B5" s="8" t="s">
        <v>449</v>
      </c>
      <c r="C5" s="8">
        <v>9</v>
      </c>
      <c r="E5" s="8" t="s">
        <v>444</v>
      </c>
      <c r="F5" s="8">
        <v>1</v>
      </c>
      <c r="H5" s="8" t="s">
        <v>462</v>
      </c>
      <c r="I5" s="8">
        <v>89</v>
      </c>
      <c r="K5" s="8" t="s">
        <v>444</v>
      </c>
      <c r="L5" s="8">
        <v>12</v>
      </c>
      <c r="N5" s="8" t="s">
        <v>444</v>
      </c>
      <c r="O5" s="8">
        <v>2</v>
      </c>
      <c r="P5"/>
    </row>
    <row r="6" spans="1:18" ht="18" customHeight="1" x14ac:dyDescent="0.15">
      <c r="B6" s="8" t="s">
        <v>450</v>
      </c>
      <c r="C6" s="8">
        <v>14</v>
      </c>
      <c r="E6" s="8" t="s">
        <v>445</v>
      </c>
      <c r="F6" s="8">
        <v>2</v>
      </c>
      <c r="H6" s="8" t="s">
        <v>463</v>
      </c>
      <c r="I6" s="8">
        <v>128</v>
      </c>
      <c r="K6" s="8" t="s">
        <v>445</v>
      </c>
      <c r="L6" s="8">
        <v>18</v>
      </c>
      <c r="N6" s="8" t="s">
        <v>445</v>
      </c>
      <c r="O6" s="8">
        <v>3</v>
      </c>
      <c r="P6"/>
    </row>
    <row r="7" spans="1:18" ht="18" customHeight="1" x14ac:dyDescent="0.15">
      <c r="E7" s="8" t="s">
        <v>446</v>
      </c>
      <c r="F7" s="8">
        <v>3</v>
      </c>
      <c r="K7" s="8" t="s">
        <v>446</v>
      </c>
      <c r="L7" s="8">
        <v>24</v>
      </c>
      <c r="N7" s="8" t="s">
        <v>446</v>
      </c>
      <c r="O7" s="8">
        <v>4</v>
      </c>
      <c r="P7"/>
    </row>
    <row r="8" spans="1:18" ht="18" customHeight="1" x14ac:dyDescent="0.15">
      <c r="E8" s="8" t="s">
        <v>447</v>
      </c>
      <c r="F8" s="8">
        <v>4</v>
      </c>
      <c r="K8" s="8" t="s">
        <v>447</v>
      </c>
      <c r="L8" s="8">
        <v>30</v>
      </c>
      <c r="N8" s="8" t="s">
        <v>447</v>
      </c>
      <c r="O8" s="8">
        <v>5</v>
      </c>
      <c r="P8"/>
    </row>
    <row r="9" spans="1:18" ht="18" customHeight="1" x14ac:dyDescent="0.15">
      <c r="A9" s="8" t="s">
        <v>458</v>
      </c>
      <c r="B9" s="8" t="s">
        <v>480</v>
      </c>
      <c r="C9" s="97" t="s">
        <v>451</v>
      </c>
      <c r="D9" s="93" t="s">
        <v>448</v>
      </c>
      <c r="E9" s="93"/>
      <c r="F9" s="93"/>
      <c r="G9" s="93"/>
      <c r="H9" s="93"/>
      <c r="I9" s="94" t="s">
        <v>449</v>
      </c>
      <c r="J9" s="94"/>
      <c r="K9" s="94"/>
      <c r="L9" s="94"/>
      <c r="M9" s="94"/>
      <c r="N9" s="95" t="s">
        <v>450</v>
      </c>
      <c r="O9" s="95"/>
      <c r="P9" s="95"/>
      <c r="Q9" s="96"/>
      <c r="R9" s="96"/>
    </row>
    <row r="10" spans="1:18" ht="18" customHeight="1" thickBot="1" x14ac:dyDescent="0.2">
      <c r="A10" s="8" t="s">
        <v>465</v>
      </c>
      <c r="B10" s="8" t="s">
        <v>481</v>
      </c>
      <c r="C10" s="97" t="s">
        <v>452</v>
      </c>
      <c r="D10" s="93" t="s">
        <v>443</v>
      </c>
      <c r="E10" s="93" t="s">
        <v>444</v>
      </c>
      <c r="F10" s="93" t="s">
        <v>445</v>
      </c>
      <c r="G10" s="93" t="s">
        <v>446</v>
      </c>
      <c r="H10" s="93" t="s">
        <v>447</v>
      </c>
      <c r="I10" s="94" t="s">
        <v>443</v>
      </c>
      <c r="J10" s="94" t="s">
        <v>444</v>
      </c>
      <c r="K10" s="94" t="s">
        <v>445</v>
      </c>
      <c r="L10" s="94" t="s">
        <v>446</v>
      </c>
      <c r="M10" s="94" t="s">
        <v>447</v>
      </c>
      <c r="N10" s="95" t="s">
        <v>443</v>
      </c>
      <c r="O10" s="95" t="s">
        <v>444</v>
      </c>
      <c r="P10" s="95" t="s">
        <v>445</v>
      </c>
      <c r="Q10" s="95" t="s">
        <v>446</v>
      </c>
      <c r="R10" s="95" t="s">
        <v>447</v>
      </c>
    </row>
    <row r="11" spans="1:18" ht="18" customHeight="1" x14ac:dyDescent="0.15">
      <c r="A11" s="97" t="s">
        <v>452</v>
      </c>
      <c r="B11" s="97" t="s">
        <v>452</v>
      </c>
      <c r="C11" s="28">
        <v>1.05</v>
      </c>
      <c r="D11" s="98">
        <v>0.79</v>
      </c>
      <c r="E11" s="99">
        <v>0.75</v>
      </c>
      <c r="F11" s="99">
        <v>0.73</v>
      </c>
      <c r="G11" s="99">
        <v>0.71</v>
      </c>
      <c r="H11" s="100">
        <v>0.7</v>
      </c>
      <c r="I11" s="98">
        <v>0.72</v>
      </c>
      <c r="J11" s="99">
        <v>0.67</v>
      </c>
      <c r="K11" s="99">
        <v>0.64</v>
      </c>
      <c r="L11" s="99">
        <v>0.62</v>
      </c>
      <c r="M11" s="100">
        <v>0.6</v>
      </c>
      <c r="N11" s="98">
        <v>0.62</v>
      </c>
      <c r="O11" s="99">
        <v>0.5</v>
      </c>
      <c r="P11" s="99">
        <v>0.49</v>
      </c>
      <c r="Q11" s="99">
        <v>0.46</v>
      </c>
      <c r="R11" s="100">
        <v>0.44</v>
      </c>
    </row>
    <row r="12" spans="1:18" ht="18" customHeight="1" x14ac:dyDescent="0.15">
      <c r="A12" s="97"/>
      <c r="B12" s="97" t="s">
        <v>443</v>
      </c>
      <c r="C12" s="28">
        <v>1.05</v>
      </c>
      <c r="D12" s="101">
        <v>0.8</v>
      </c>
      <c r="E12" s="28">
        <v>0.76</v>
      </c>
      <c r="F12" s="28">
        <v>0.75</v>
      </c>
      <c r="G12" s="28">
        <v>0.74</v>
      </c>
      <c r="H12" s="102">
        <v>0.73</v>
      </c>
      <c r="I12" s="101">
        <v>0.73</v>
      </c>
      <c r="J12" s="28">
        <v>0.68</v>
      </c>
      <c r="K12" s="28">
        <v>0.66</v>
      </c>
      <c r="L12" s="28">
        <v>0.65</v>
      </c>
      <c r="M12" s="102">
        <v>0.64</v>
      </c>
      <c r="N12" s="101">
        <v>0.62</v>
      </c>
      <c r="O12" s="28">
        <v>0.55000000000000004</v>
      </c>
      <c r="P12" s="28">
        <v>0.51</v>
      </c>
      <c r="Q12" s="28">
        <v>0.49</v>
      </c>
      <c r="R12" s="102">
        <v>0.47</v>
      </c>
    </row>
    <row r="13" spans="1:18" ht="18" customHeight="1" x14ac:dyDescent="0.15">
      <c r="A13" s="97"/>
      <c r="B13" s="97" t="s">
        <v>444</v>
      </c>
      <c r="C13" s="28">
        <v>1.04</v>
      </c>
      <c r="D13" s="101">
        <v>0.8</v>
      </c>
      <c r="E13" s="28">
        <v>0.77</v>
      </c>
      <c r="F13" s="28">
        <v>0.76</v>
      </c>
      <c r="G13" s="28">
        <v>0.75</v>
      </c>
      <c r="H13" s="102">
        <v>0.74</v>
      </c>
      <c r="I13" s="101">
        <v>0.73</v>
      </c>
      <c r="J13" s="28">
        <v>0.69</v>
      </c>
      <c r="K13" s="28">
        <v>0.67</v>
      </c>
      <c r="L13" s="28">
        <v>0.66</v>
      </c>
      <c r="M13" s="102">
        <v>0.65</v>
      </c>
      <c r="N13" s="101">
        <v>0.62</v>
      </c>
      <c r="O13" s="28">
        <v>0.55000000000000004</v>
      </c>
      <c r="P13" s="28">
        <v>0.52</v>
      </c>
      <c r="Q13" s="28">
        <v>0.5</v>
      </c>
      <c r="R13" s="102">
        <v>0.48</v>
      </c>
    </row>
    <row r="14" spans="1:18" ht="18" customHeight="1" x14ac:dyDescent="0.15">
      <c r="A14" s="97"/>
      <c r="B14" s="97" t="s">
        <v>445</v>
      </c>
      <c r="C14" s="28">
        <v>1.01</v>
      </c>
      <c r="D14" s="101">
        <v>0.8</v>
      </c>
      <c r="E14" s="28">
        <v>0.77</v>
      </c>
      <c r="F14" s="28">
        <v>0.76</v>
      </c>
      <c r="G14" s="28">
        <v>0.75</v>
      </c>
      <c r="H14" s="102">
        <v>0.75</v>
      </c>
      <c r="I14" s="101">
        <v>0.73</v>
      </c>
      <c r="J14" s="28">
        <v>0.69</v>
      </c>
      <c r="K14" s="28">
        <v>0.67</v>
      </c>
      <c r="L14" s="28">
        <v>0.66</v>
      </c>
      <c r="M14" s="102">
        <v>0.65</v>
      </c>
      <c r="N14" s="101">
        <v>0.62</v>
      </c>
      <c r="O14" s="28">
        <v>0.55000000000000004</v>
      </c>
      <c r="P14" s="28">
        <v>0.52</v>
      </c>
      <c r="Q14" s="28">
        <v>0.5</v>
      </c>
      <c r="R14" s="102">
        <v>0.49</v>
      </c>
    </row>
    <row r="15" spans="1:18" ht="18" customHeight="1" x14ac:dyDescent="0.15">
      <c r="A15" s="97"/>
      <c r="B15" s="97" t="s">
        <v>446</v>
      </c>
      <c r="C15" s="28">
        <v>0.99</v>
      </c>
      <c r="D15" s="101">
        <v>0.79</v>
      </c>
      <c r="E15" s="28">
        <v>0.77</v>
      </c>
      <c r="F15" s="28">
        <v>0.76</v>
      </c>
      <c r="G15" s="28">
        <v>0.75</v>
      </c>
      <c r="H15" s="102">
        <v>0.75</v>
      </c>
      <c r="I15" s="101">
        <v>0.72</v>
      </c>
      <c r="J15" s="28">
        <v>0.69</v>
      </c>
      <c r="K15" s="28">
        <v>0.67</v>
      </c>
      <c r="L15" s="28">
        <v>0.66</v>
      </c>
      <c r="M15" s="102">
        <v>0.66</v>
      </c>
      <c r="N15" s="101">
        <v>0.62</v>
      </c>
      <c r="O15" s="28">
        <v>0.55000000000000004</v>
      </c>
      <c r="P15" s="28">
        <v>0.52</v>
      </c>
      <c r="Q15" s="28">
        <v>0.5</v>
      </c>
      <c r="R15" s="102">
        <v>0.49</v>
      </c>
    </row>
    <row r="16" spans="1:18" ht="18" customHeight="1" thickBot="1" x14ac:dyDescent="0.2">
      <c r="A16" s="97"/>
      <c r="B16" s="97" t="s">
        <v>447</v>
      </c>
      <c r="C16" s="104">
        <v>0.96</v>
      </c>
      <c r="D16" s="103">
        <v>0.79</v>
      </c>
      <c r="E16" s="104">
        <v>0.77</v>
      </c>
      <c r="F16" s="104">
        <v>0.76</v>
      </c>
      <c r="G16" s="104">
        <v>0.75</v>
      </c>
      <c r="H16" s="105">
        <v>0.75</v>
      </c>
      <c r="I16" s="103">
        <v>0.72</v>
      </c>
      <c r="J16" s="104">
        <v>0.69</v>
      </c>
      <c r="K16" s="104">
        <v>0.67</v>
      </c>
      <c r="L16" s="104">
        <v>0.66</v>
      </c>
      <c r="M16" s="105">
        <v>0.66</v>
      </c>
      <c r="N16" s="103">
        <v>0.61</v>
      </c>
      <c r="O16" s="104">
        <v>0.55000000000000004</v>
      </c>
      <c r="P16" s="104">
        <v>0.52</v>
      </c>
      <c r="Q16" s="104">
        <v>0.5</v>
      </c>
      <c r="R16" s="105">
        <v>0.49</v>
      </c>
    </row>
    <row r="17" spans="1:18" ht="18" customHeight="1" x14ac:dyDescent="0.15">
      <c r="A17" s="93" t="s">
        <v>443</v>
      </c>
      <c r="B17" s="93" t="s">
        <v>452</v>
      </c>
      <c r="C17" s="28">
        <v>0.61</v>
      </c>
      <c r="D17" s="98">
        <v>0.55000000000000004</v>
      </c>
      <c r="E17" s="99">
        <v>0.54</v>
      </c>
      <c r="F17" s="99">
        <v>0.53</v>
      </c>
      <c r="G17" s="99">
        <v>0.52</v>
      </c>
      <c r="H17" s="100">
        <v>0.51</v>
      </c>
      <c r="I17" s="98">
        <v>0.53</v>
      </c>
      <c r="J17" s="99">
        <v>0.51</v>
      </c>
      <c r="K17" s="99">
        <v>0.5</v>
      </c>
      <c r="L17" s="28">
        <v>0.49</v>
      </c>
      <c r="M17" s="28">
        <v>0.48</v>
      </c>
      <c r="N17" s="98">
        <v>0.49</v>
      </c>
      <c r="O17" s="99">
        <v>0.46</v>
      </c>
      <c r="P17" s="99">
        <v>0.44</v>
      </c>
      <c r="Q17" s="99">
        <v>0.42</v>
      </c>
      <c r="R17" s="100">
        <v>0.41</v>
      </c>
    </row>
    <row r="18" spans="1:18" ht="18" customHeight="1" x14ac:dyDescent="0.15">
      <c r="A18" s="93"/>
      <c r="B18" s="93" t="s">
        <v>443</v>
      </c>
      <c r="C18" s="28">
        <v>0.63</v>
      </c>
      <c r="D18" s="101">
        <v>0.53</v>
      </c>
      <c r="E18" s="28">
        <v>0.52</v>
      </c>
      <c r="F18" s="28">
        <v>0.51</v>
      </c>
      <c r="G18" s="28">
        <v>0.51</v>
      </c>
      <c r="H18" s="102">
        <v>0.51</v>
      </c>
      <c r="I18" s="109">
        <v>0.5</v>
      </c>
      <c r="J18" s="28">
        <v>0.48</v>
      </c>
      <c r="K18" s="28">
        <v>0.47</v>
      </c>
      <c r="L18" s="28">
        <v>0.46</v>
      </c>
      <c r="M18" s="28">
        <v>0.46</v>
      </c>
      <c r="N18" s="101">
        <v>0.44</v>
      </c>
      <c r="O18" s="28">
        <v>0.4</v>
      </c>
      <c r="P18" s="28">
        <v>0.38</v>
      </c>
      <c r="Q18" s="28">
        <v>0.36</v>
      </c>
      <c r="R18" s="102">
        <v>0.35</v>
      </c>
    </row>
    <row r="19" spans="1:18" ht="18" customHeight="1" x14ac:dyDescent="0.15">
      <c r="A19" s="93"/>
      <c r="B19" s="93" t="s">
        <v>444</v>
      </c>
      <c r="C19" s="28">
        <v>0.64</v>
      </c>
      <c r="D19" s="101">
        <v>0.55000000000000004</v>
      </c>
      <c r="E19" s="28">
        <v>0.53</v>
      </c>
      <c r="F19" s="28">
        <v>0.53</v>
      </c>
      <c r="G19" s="28">
        <v>0.52</v>
      </c>
      <c r="H19" s="102">
        <v>0.52</v>
      </c>
      <c r="I19" s="101">
        <v>0.5</v>
      </c>
      <c r="J19" s="28">
        <v>0.49</v>
      </c>
      <c r="K19" s="28">
        <v>0.48</v>
      </c>
      <c r="L19" s="28">
        <v>0.47</v>
      </c>
      <c r="M19" s="28">
        <v>0.47</v>
      </c>
      <c r="N19" s="101">
        <v>0.45</v>
      </c>
      <c r="O19" s="28">
        <v>0.4</v>
      </c>
      <c r="P19" s="28">
        <v>0.38</v>
      </c>
      <c r="Q19" s="28">
        <v>0.37</v>
      </c>
      <c r="R19" s="102">
        <v>0.36</v>
      </c>
    </row>
    <row r="20" spans="1:18" ht="18" customHeight="1" x14ac:dyDescent="0.15">
      <c r="A20" s="93"/>
      <c r="B20" s="93" t="s">
        <v>445</v>
      </c>
      <c r="C20" s="28">
        <v>0.64</v>
      </c>
      <c r="D20" s="101">
        <v>0.55000000000000004</v>
      </c>
      <c r="E20" s="28">
        <v>0.54</v>
      </c>
      <c r="F20" s="28">
        <v>0.54</v>
      </c>
      <c r="G20" s="28">
        <v>0.53</v>
      </c>
      <c r="H20" s="102">
        <v>0.53</v>
      </c>
      <c r="I20" s="101">
        <v>0.52</v>
      </c>
      <c r="J20" s="28">
        <v>0.5</v>
      </c>
      <c r="K20" s="28">
        <v>0.49</v>
      </c>
      <c r="L20" s="28">
        <v>0.48</v>
      </c>
      <c r="M20" s="28">
        <v>0.48</v>
      </c>
      <c r="N20" s="101">
        <v>0.45</v>
      </c>
      <c r="O20" s="28">
        <v>0.41</v>
      </c>
      <c r="P20" s="28">
        <v>0.39</v>
      </c>
      <c r="Q20" s="28">
        <v>0.38</v>
      </c>
      <c r="R20" s="102">
        <v>0.37</v>
      </c>
    </row>
    <row r="21" spans="1:18" ht="18" customHeight="1" x14ac:dyDescent="0.15">
      <c r="A21" s="93"/>
      <c r="B21" s="93" t="s">
        <v>446</v>
      </c>
      <c r="C21" s="28">
        <v>0.64</v>
      </c>
      <c r="D21" s="101">
        <v>0.56000000000000005</v>
      </c>
      <c r="E21" s="28">
        <v>0.55000000000000004</v>
      </c>
      <c r="F21" s="28">
        <v>0.54</v>
      </c>
      <c r="G21" s="28">
        <v>0.54</v>
      </c>
      <c r="H21" s="102">
        <v>0.54</v>
      </c>
      <c r="I21" s="101">
        <v>0.52</v>
      </c>
      <c r="J21" s="28">
        <v>0.5</v>
      </c>
      <c r="K21" s="28">
        <v>0.49</v>
      </c>
      <c r="L21" s="28">
        <v>0.49</v>
      </c>
      <c r="M21" s="28">
        <v>0.49</v>
      </c>
      <c r="N21" s="101">
        <v>0.45</v>
      </c>
      <c r="O21" s="28">
        <v>0.42</v>
      </c>
      <c r="P21" s="28">
        <v>0.4</v>
      </c>
      <c r="Q21" s="28">
        <v>0.39</v>
      </c>
      <c r="R21" s="102">
        <v>0.39</v>
      </c>
    </row>
    <row r="22" spans="1:18" ht="18" customHeight="1" thickBot="1" x14ac:dyDescent="0.2">
      <c r="A22" s="93"/>
      <c r="B22" s="93" t="s">
        <v>447</v>
      </c>
      <c r="C22" s="104">
        <v>0.64</v>
      </c>
      <c r="D22" s="103">
        <v>0.56999999999999995</v>
      </c>
      <c r="E22" s="104">
        <v>0.56000000000000005</v>
      </c>
      <c r="F22" s="104">
        <v>0.56000000000000005</v>
      </c>
      <c r="G22" s="104">
        <v>0.56000000000000005</v>
      </c>
      <c r="H22" s="105">
        <v>0.56000000000000005</v>
      </c>
      <c r="I22" s="103">
        <v>0.53</v>
      </c>
      <c r="J22" s="104">
        <v>0.51</v>
      </c>
      <c r="K22" s="104">
        <v>0.51</v>
      </c>
      <c r="L22" s="104">
        <v>0.5</v>
      </c>
      <c r="M22" s="104">
        <v>0.5</v>
      </c>
      <c r="N22" s="103">
        <v>0.45</v>
      </c>
      <c r="O22" s="104">
        <v>0.42</v>
      </c>
      <c r="P22" s="104">
        <v>0.4</v>
      </c>
      <c r="Q22" s="104">
        <v>0.39</v>
      </c>
      <c r="R22" s="105">
        <v>0.39</v>
      </c>
    </row>
    <row r="23" spans="1:18" ht="18" customHeight="1" x14ac:dyDescent="0.15">
      <c r="A23" s="94" t="s">
        <v>444</v>
      </c>
      <c r="B23" s="94" t="s">
        <v>452</v>
      </c>
      <c r="C23" s="28">
        <v>0.56000000000000005</v>
      </c>
      <c r="D23" s="98">
        <v>0.52</v>
      </c>
      <c r="E23" s="99">
        <v>0.51</v>
      </c>
      <c r="F23" s="99">
        <v>0.5</v>
      </c>
      <c r="G23" s="99">
        <v>0.5</v>
      </c>
      <c r="H23" s="100">
        <v>0.49</v>
      </c>
      <c r="I23" s="98">
        <v>0.5</v>
      </c>
      <c r="J23" s="99">
        <v>0.49</v>
      </c>
      <c r="K23" s="99">
        <v>0.48</v>
      </c>
      <c r="L23" s="99">
        <v>0.47</v>
      </c>
      <c r="M23" s="99">
        <v>0.47</v>
      </c>
      <c r="N23" s="98">
        <v>0.47</v>
      </c>
      <c r="O23" s="99">
        <v>0.44</v>
      </c>
      <c r="P23" s="99">
        <v>0.43</v>
      </c>
      <c r="Q23" s="99">
        <v>0.42</v>
      </c>
      <c r="R23" s="100">
        <v>0.41</v>
      </c>
    </row>
    <row r="24" spans="1:18" ht="18" customHeight="1" x14ac:dyDescent="0.15">
      <c r="A24" s="94"/>
      <c r="B24" s="94" t="s">
        <v>443</v>
      </c>
      <c r="C24" s="28">
        <v>0.55000000000000004</v>
      </c>
      <c r="D24" s="101">
        <v>0.48</v>
      </c>
      <c r="E24" s="28">
        <v>0.47</v>
      </c>
      <c r="F24" s="28">
        <v>0.46</v>
      </c>
      <c r="G24" s="28">
        <v>0.46</v>
      </c>
      <c r="H24" s="102">
        <v>0.46</v>
      </c>
      <c r="I24" s="101">
        <v>0.45</v>
      </c>
      <c r="J24" s="28">
        <v>0.44</v>
      </c>
      <c r="K24" s="28">
        <v>0.43</v>
      </c>
      <c r="L24" s="28">
        <v>0.42</v>
      </c>
      <c r="M24" s="28">
        <v>0.42</v>
      </c>
      <c r="N24" s="101">
        <v>0.4</v>
      </c>
      <c r="O24" s="28">
        <v>0.37</v>
      </c>
      <c r="P24" s="28">
        <v>0.35</v>
      </c>
      <c r="Q24" s="28">
        <v>0.34</v>
      </c>
      <c r="R24" s="102">
        <v>0.34</v>
      </c>
    </row>
    <row r="25" spans="1:18" ht="18" customHeight="1" x14ac:dyDescent="0.15">
      <c r="A25" s="94"/>
      <c r="B25" s="94" t="s">
        <v>444</v>
      </c>
      <c r="C25" s="28">
        <v>0.56000000000000005</v>
      </c>
      <c r="D25" s="101">
        <v>0.49</v>
      </c>
      <c r="E25" s="28">
        <v>0.48</v>
      </c>
      <c r="F25" s="28">
        <v>0.47</v>
      </c>
      <c r="G25" s="28">
        <v>0.47</v>
      </c>
      <c r="H25" s="102">
        <v>0.47</v>
      </c>
      <c r="I25" s="101">
        <v>0.46</v>
      </c>
      <c r="J25" s="28">
        <v>0.44</v>
      </c>
      <c r="K25" s="28">
        <v>0.43</v>
      </c>
      <c r="L25" s="28">
        <v>0.43</v>
      </c>
      <c r="M25" s="28">
        <v>0.43</v>
      </c>
      <c r="N25" s="101">
        <v>0.4</v>
      </c>
      <c r="O25" s="28">
        <v>0.37</v>
      </c>
      <c r="P25" s="28">
        <v>0.35</v>
      </c>
      <c r="Q25" s="28">
        <v>0.34</v>
      </c>
      <c r="R25" s="102">
        <v>0.34</v>
      </c>
    </row>
    <row r="26" spans="1:18" ht="18" customHeight="1" x14ac:dyDescent="0.15">
      <c r="A26" s="94"/>
      <c r="B26" s="94" t="s">
        <v>445</v>
      </c>
      <c r="C26" s="28">
        <v>0.56000000000000005</v>
      </c>
      <c r="D26" s="101">
        <v>0.49</v>
      </c>
      <c r="E26" s="28">
        <v>0.48</v>
      </c>
      <c r="F26" s="28">
        <v>0.48</v>
      </c>
      <c r="G26" s="28">
        <v>0.48</v>
      </c>
      <c r="H26" s="102">
        <v>0.48</v>
      </c>
      <c r="I26" s="101">
        <v>0.46</v>
      </c>
      <c r="J26" s="28">
        <v>0.45</v>
      </c>
      <c r="K26" s="28">
        <v>0.44</v>
      </c>
      <c r="L26" s="28">
        <v>0.44</v>
      </c>
      <c r="M26" s="28">
        <v>0.43</v>
      </c>
      <c r="N26" s="101">
        <v>0.41</v>
      </c>
      <c r="O26" s="28">
        <v>0.38</v>
      </c>
      <c r="P26" s="28">
        <v>0.36</v>
      </c>
      <c r="Q26" s="28">
        <v>0.35</v>
      </c>
      <c r="R26" s="102">
        <v>0.34</v>
      </c>
    </row>
    <row r="27" spans="1:18" ht="18" customHeight="1" x14ac:dyDescent="0.15">
      <c r="A27" s="94"/>
      <c r="B27" s="94" t="s">
        <v>446</v>
      </c>
      <c r="C27" s="28">
        <v>0.56000000000000005</v>
      </c>
      <c r="D27" s="101">
        <v>0.5</v>
      </c>
      <c r="E27" s="28">
        <v>0.49</v>
      </c>
      <c r="F27" s="110">
        <v>0.49</v>
      </c>
      <c r="G27" s="28">
        <v>0.48</v>
      </c>
      <c r="H27" s="102">
        <v>0.48</v>
      </c>
      <c r="I27" s="101">
        <v>0.47</v>
      </c>
      <c r="J27" s="28">
        <v>0.45</v>
      </c>
      <c r="K27" s="28">
        <v>0.45</v>
      </c>
      <c r="L27" s="28">
        <v>0.44</v>
      </c>
      <c r="M27" s="28">
        <v>0.44</v>
      </c>
      <c r="N27" s="101">
        <v>0.41</v>
      </c>
      <c r="O27" s="28">
        <v>0.38</v>
      </c>
      <c r="P27" s="28">
        <v>0.36</v>
      </c>
      <c r="Q27" s="28">
        <v>0.35</v>
      </c>
      <c r="R27" s="102">
        <v>0.34</v>
      </c>
    </row>
    <row r="28" spans="1:18" ht="18" customHeight="1" thickBot="1" x14ac:dyDescent="0.2">
      <c r="A28" s="94"/>
      <c r="B28" s="94" t="s">
        <v>447</v>
      </c>
      <c r="C28" s="105">
        <v>0.56000000000000005</v>
      </c>
      <c r="D28" s="103">
        <v>0.51</v>
      </c>
      <c r="E28" s="104">
        <v>0.51</v>
      </c>
      <c r="F28" s="104">
        <v>0.5</v>
      </c>
      <c r="G28" s="104">
        <v>0.5</v>
      </c>
      <c r="H28" s="105">
        <v>0.5</v>
      </c>
      <c r="I28" s="101">
        <v>0.47</v>
      </c>
      <c r="J28" s="104">
        <v>0.46</v>
      </c>
      <c r="K28" s="104">
        <v>0.46</v>
      </c>
      <c r="L28" s="104">
        <v>0.46</v>
      </c>
      <c r="M28" s="104">
        <v>0.46</v>
      </c>
      <c r="N28" s="103">
        <v>0.41</v>
      </c>
      <c r="O28" s="104">
        <v>0.38</v>
      </c>
      <c r="P28" s="104">
        <v>0.37</v>
      </c>
      <c r="Q28" s="104">
        <v>0.36</v>
      </c>
      <c r="R28" s="105">
        <v>0.36</v>
      </c>
    </row>
    <row r="29" spans="1:18" ht="18" customHeight="1" x14ac:dyDescent="0.15">
      <c r="A29" s="95" t="s">
        <v>445</v>
      </c>
      <c r="B29" s="95" t="s">
        <v>452</v>
      </c>
      <c r="C29" s="28">
        <v>0.53</v>
      </c>
      <c r="D29" s="98">
        <v>0.5</v>
      </c>
      <c r="E29" s="99">
        <v>0.49</v>
      </c>
      <c r="F29" s="99">
        <v>0.48</v>
      </c>
      <c r="G29" s="99">
        <v>0.48</v>
      </c>
      <c r="H29" s="100">
        <v>0.47</v>
      </c>
      <c r="I29" s="98">
        <v>0.48</v>
      </c>
      <c r="J29" s="99">
        <v>0.47</v>
      </c>
      <c r="K29" s="99">
        <v>0.46</v>
      </c>
      <c r="L29" s="99">
        <v>0.46</v>
      </c>
      <c r="M29" s="100">
        <v>0.45</v>
      </c>
      <c r="N29" s="98">
        <v>0.45</v>
      </c>
      <c r="O29" s="99">
        <v>0.43</v>
      </c>
      <c r="P29" s="99">
        <v>0.42</v>
      </c>
      <c r="Q29" s="111">
        <v>0.41</v>
      </c>
      <c r="R29" s="100">
        <v>0.4</v>
      </c>
    </row>
    <row r="30" spans="1:18" ht="18" customHeight="1" x14ac:dyDescent="0.15">
      <c r="A30" s="95"/>
      <c r="B30" s="95" t="s">
        <v>443</v>
      </c>
      <c r="C30" s="28">
        <v>0.51</v>
      </c>
      <c r="D30" s="101">
        <v>0.46</v>
      </c>
      <c r="E30" s="28">
        <v>0.45</v>
      </c>
      <c r="F30" s="28">
        <v>0.44</v>
      </c>
      <c r="G30" s="28">
        <v>0.44</v>
      </c>
      <c r="H30" s="28">
        <v>0.44</v>
      </c>
      <c r="I30" s="101">
        <v>0.43</v>
      </c>
      <c r="J30" s="28">
        <v>0.42</v>
      </c>
      <c r="K30" s="28">
        <v>0.41</v>
      </c>
      <c r="L30" s="28">
        <v>0.41</v>
      </c>
      <c r="M30" s="28">
        <v>0.41</v>
      </c>
      <c r="N30" s="101">
        <v>0.39</v>
      </c>
      <c r="O30" s="28">
        <v>0.36</v>
      </c>
      <c r="P30" s="28">
        <v>0.35</v>
      </c>
      <c r="Q30" s="28">
        <v>0.34</v>
      </c>
      <c r="R30" s="102">
        <v>0.33</v>
      </c>
    </row>
    <row r="31" spans="1:18" ht="18" customHeight="1" x14ac:dyDescent="0.15">
      <c r="A31" s="95"/>
      <c r="B31" s="95" t="s">
        <v>444</v>
      </c>
      <c r="C31" s="28">
        <v>0.52</v>
      </c>
      <c r="D31" s="101">
        <v>0.46</v>
      </c>
      <c r="E31" s="28">
        <v>0.45</v>
      </c>
      <c r="F31" s="28">
        <v>0.45</v>
      </c>
      <c r="G31" s="28">
        <v>0.44</v>
      </c>
      <c r="H31" s="28">
        <v>0.44</v>
      </c>
      <c r="I31" s="101">
        <v>0.43</v>
      </c>
      <c r="J31" s="28">
        <v>0.42</v>
      </c>
      <c r="K31" s="28">
        <v>0.41</v>
      </c>
      <c r="L31" s="28">
        <v>0.41</v>
      </c>
      <c r="M31" s="28">
        <v>0.41</v>
      </c>
      <c r="N31" s="101">
        <v>0.38</v>
      </c>
      <c r="O31" s="28">
        <v>0.35</v>
      </c>
      <c r="P31" s="28">
        <v>0.34</v>
      </c>
      <c r="Q31" s="28">
        <v>0.33</v>
      </c>
      <c r="R31" s="102">
        <v>0.32</v>
      </c>
    </row>
    <row r="32" spans="1:18" ht="18" customHeight="1" x14ac:dyDescent="0.15">
      <c r="A32" s="95"/>
      <c r="B32" s="95" t="s">
        <v>445</v>
      </c>
      <c r="C32" s="28">
        <v>0.52</v>
      </c>
      <c r="D32" s="101">
        <v>0.46</v>
      </c>
      <c r="E32" s="28">
        <v>0.45</v>
      </c>
      <c r="F32" s="28">
        <v>0.45</v>
      </c>
      <c r="G32" s="28">
        <v>0.45</v>
      </c>
      <c r="H32" s="28">
        <v>0.45</v>
      </c>
      <c r="I32" s="101">
        <v>0.44</v>
      </c>
      <c r="J32" s="28">
        <v>0.42</v>
      </c>
      <c r="K32" s="28">
        <v>0.42</v>
      </c>
      <c r="L32" s="28">
        <v>0.41</v>
      </c>
      <c r="M32" s="28">
        <v>0.41</v>
      </c>
      <c r="N32" s="101">
        <v>0.38</v>
      </c>
      <c r="O32" s="28">
        <v>0.35</v>
      </c>
      <c r="P32" s="28">
        <v>0.34</v>
      </c>
      <c r="Q32" s="28">
        <v>0.33</v>
      </c>
      <c r="R32" s="102">
        <v>0.33</v>
      </c>
    </row>
    <row r="33" spans="1:18" ht="18" customHeight="1" x14ac:dyDescent="0.15">
      <c r="A33" s="95"/>
      <c r="B33" s="95" t="s">
        <v>446</v>
      </c>
      <c r="C33" s="28">
        <v>0.52</v>
      </c>
      <c r="D33" s="101">
        <v>0.47</v>
      </c>
      <c r="E33" s="28">
        <v>0.46</v>
      </c>
      <c r="F33" s="28">
        <v>0.46</v>
      </c>
      <c r="G33" s="28">
        <v>0.45</v>
      </c>
      <c r="H33" s="28">
        <v>0.45</v>
      </c>
      <c r="I33" s="101">
        <v>0.44</v>
      </c>
      <c r="J33" s="28">
        <v>0.43</v>
      </c>
      <c r="K33" s="28">
        <v>0.42</v>
      </c>
      <c r="L33" s="28">
        <v>0.42</v>
      </c>
      <c r="M33" s="28">
        <v>0.41</v>
      </c>
      <c r="N33" s="101">
        <v>0.39</v>
      </c>
      <c r="O33" s="28">
        <v>0.36</v>
      </c>
      <c r="P33" s="28">
        <v>0.34</v>
      </c>
      <c r="Q33" s="28">
        <v>0.33</v>
      </c>
      <c r="R33" s="102">
        <v>0.33</v>
      </c>
    </row>
    <row r="34" spans="1:18" ht="18" customHeight="1" thickBot="1" x14ac:dyDescent="0.2">
      <c r="A34" s="95"/>
      <c r="B34" s="95" t="s">
        <v>447</v>
      </c>
      <c r="C34" s="105">
        <v>0.52</v>
      </c>
      <c r="D34" s="103">
        <v>0.48</v>
      </c>
      <c r="E34" s="104">
        <v>0.47</v>
      </c>
      <c r="F34" s="104">
        <v>0.47</v>
      </c>
      <c r="G34" s="104">
        <v>0.47</v>
      </c>
      <c r="H34" s="104">
        <v>0.47</v>
      </c>
      <c r="I34" s="103">
        <v>0.45</v>
      </c>
      <c r="J34" s="104">
        <v>0.44</v>
      </c>
      <c r="K34" s="104">
        <v>0.43</v>
      </c>
      <c r="L34" s="104">
        <v>0.43</v>
      </c>
      <c r="M34" s="104">
        <v>0.43</v>
      </c>
      <c r="N34" s="101">
        <v>0.39</v>
      </c>
      <c r="O34" s="28">
        <v>0.36</v>
      </c>
      <c r="P34" s="104">
        <v>0.35</v>
      </c>
      <c r="Q34" s="104">
        <v>0.34</v>
      </c>
      <c r="R34" s="105">
        <v>0.34</v>
      </c>
    </row>
    <row r="35" spans="1:18" ht="18" customHeight="1" x14ac:dyDescent="0.15">
      <c r="A35" s="106" t="s">
        <v>446</v>
      </c>
      <c r="B35" s="106" t="s">
        <v>452</v>
      </c>
      <c r="C35" s="28">
        <v>0.51</v>
      </c>
      <c r="D35" s="98">
        <v>0.48</v>
      </c>
      <c r="E35" s="99">
        <v>0.47</v>
      </c>
      <c r="F35" s="99">
        <v>0.47</v>
      </c>
      <c r="G35" s="99">
        <v>0.47</v>
      </c>
      <c r="H35" s="100">
        <v>0.46</v>
      </c>
      <c r="I35" s="98">
        <v>0.47</v>
      </c>
      <c r="J35" s="99">
        <v>0.46</v>
      </c>
      <c r="K35" s="99">
        <v>0.45</v>
      </c>
      <c r="L35" s="99">
        <v>0.45</v>
      </c>
      <c r="M35" s="100">
        <v>0.44</v>
      </c>
      <c r="N35" s="98">
        <v>0.44</v>
      </c>
      <c r="O35" s="99">
        <v>0.42</v>
      </c>
      <c r="P35" s="99">
        <v>0.41</v>
      </c>
      <c r="Q35" s="99">
        <v>0.4</v>
      </c>
      <c r="R35" s="100">
        <v>0.39</v>
      </c>
    </row>
    <row r="36" spans="1:18" ht="18" customHeight="1" x14ac:dyDescent="0.15">
      <c r="A36" s="106"/>
      <c r="B36" s="106" t="s">
        <v>443</v>
      </c>
      <c r="C36" s="28">
        <v>0.49</v>
      </c>
      <c r="D36" s="101">
        <v>0.44</v>
      </c>
      <c r="E36" s="28">
        <v>0.43</v>
      </c>
      <c r="F36" s="28">
        <v>0.43</v>
      </c>
      <c r="G36" s="28">
        <v>0.43</v>
      </c>
      <c r="H36" s="28">
        <v>0.43</v>
      </c>
      <c r="I36" s="101">
        <v>0.42</v>
      </c>
      <c r="J36" s="28">
        <v>0.41</v>
      </c>
      <c r="K36" s="28">
        <v>0.41</v>
      </c>
      <c r="L36" s="28">
        <v>0.4</v>
      </c>
      <c r="M36" s="28">
        <v>0.4</v>
      </c>
      <c r="N36" s="101">
        <v>0.38</v>
      </c>
      <c r="O36" s="28">
        <v>0.36</v>
      </c>
      <c r="P36" s="28">
        <v>0.35</v>
      </c>
      <c r="Q36" s="28">
        <v>0.34</v>
      </c>
      <c r="R36" s="102">
        <v>0.33</v>
      </c>
    </row>
    <row r="37" spans="1:18" ht="18" customHeight="1" x14ac:dyDescent="0.15">
      <c r="A37" s="106"/>
      <c r="B37" s="106" t="s">
        <v>444</v>
      </c>
      <c r="C37" s="102">
        <v>0.49</v>
      </c>
      <c r="D37" s="101">
        <v>0.44</v>
      </c>
      <c r="E37" s="28">
        <v>0.43</v>
      </c>
      <c r="F37" s="28">
        <v>0.43</v>
      </c>
      <c r="G37" s="28">
        <v>0.43</v>
      </c>
      <c r="H37" s="28">
        <v>0.43</v>
      </c>
      <c r="I37" s="101">
        <v>0.42</v>
      </c>
      <c r="J37" s="28">
        <v>0.4</v>
      </c>
      <c r="K37" s="28">
        <v>0.4</v>
      </c>
      <c r="L37" s="28">
        <v>0.39</v>
      </c>
      <c r="M37" s="28">
        <v>0.39</v>
      </c>
      <c r="N37" s="101">
        <v>0.37</v>
      </c>
      <c r="O37" s="28">
        <v>0.35</v>
      </c>
      <c r="P37" s="28">
        <v>0.33</v>
      </c>
      <c r="Q37" s="28">
        <v>0.33</v>
      </c>
      <c r="R37" s="102">
        <v>0.32</v>
      </c>
    </row>
    <row r="38" spans="1:18" ht="18" customHeight="1" x14ac:dyDescent="0.15">
      <c r="A38" s="106"/>
      <c r="B38" s="106" t="s">
        <v>445</v>
      </c>
      <c r="C38" s="102">
        <v>0.49</v>
      </c>
      <c r="D38" s="101">
        <v>0.44</v>
      </c>
      <c r="E38" s="28">
        <v>0.44</v>
      </c>
      <c r="F38" s="28">
        <v>0.43</v>
      </c>
      <c r="G38" s="28">
        <v>0.43</v>
      </c>
      <c r="H38" s="28">
        <v>0.43</v>
      </c>
      <c r="I38" s="101">
        <v>0.42</v>
      </c>
      <c r="J38" s="28">
        <v>0.41</v>
      </c>
      <c r="K38" s="28">
        <v>0.4</v>
      </c>
      <c r="L38" s="28">
        <v>0.4</v>
      </c>
      <c r="M38" s="28">
        <v>0.4</v>
      </c>
      <c r="N38" s="101">
        <v>0.37</v>
      </c>
      <c r="O38" s="28">
        <v>0.34</v>
      </c>
      <c r="P38" s="28">
        <v>0.33</v>
      </c>
      <c r="Q38" s="28">
        <v>0.32</v>
      </c>
      <c r="R38" s="102">
        <v>0.32</v>
      </c>
    </row>
    <row r="39" spans="1:18" ht="18" customHeight="1" x14ac:dyDescent="0.15">
      <c r="A39" s="106"/>
      <c r="B39" s="106" t="s">
        <v>446</v>
      </c>
      <c r="C39" s="102">
        <v>0.49</v>
      </c>
      <c r="D39" s="101">
        <v>0.45</v>
      </c>
      <c r="E39" s="28">
        <v>0.44</v>
      </c>
      <c r="F39" s="28">
        <v>0.44</v>
      </c>
      <c r="G39" s="28">
        <v>0.43</v>
      </c>
      <c r="H39" s="28">
        <v>0.43</v>
      </c>
      <c r="I39" s="101">
        <v>0.42</v>
      </c>
      <c r="J39" s="28">
        <v>0.41</v>
      </c>
      <c r="K39" s="28">
        <v>0.4</v>
      </c>
      <c r="L39" s="28">
        <v>0.4</v>
      </c>
      <c r="M39" s="28">
        <v>0.4</v>
      </c>
      <c r="N39" s="101">
        <v>0.37</v>
      </c>
      <c r="O39" s="28">
        <v>0.34</v>
      </c>
      <c r="P39" s="28">
        <v>0.33</v>
      </c>
      <c r="Q39" s="28">
        <v>0.32</v>
      </c>
      <c r="R39" s="102">
        <v>0.32</v>
      </c>
    </row>
    <row r="40" spans="1:18" ht="18" customHeight="1" thickBot="1" x14ac:dyDescent="0.2">
      <c r="A40" s="106"/>
      <c r="B40" s="106" t="s">
        <v>447</v>
      </c>
      <c r="C40" s="105">
        <v>0.49</v>
      </c>
      <c r="D40" s="101">
        <v>0.45</v>
      </c>
      <c r="E40" s="104">
        <v>0.45</v>
      </c>
      <c r="F40" s="104">
        <v>0.45</v>
      </c>
      <c r="G40" s="104">
        <v>0.45</v>
      </c>
      <c r="H40" s="104">
        <v>0.45</v>
      </c>
      <c r="I40" s="103">
        <v>0.43</v>
      </c>
      <c r="J40" s="104">
        <v>0.42</v>
      </c>
      <c r="K40" s="28">
        <v>0.41</v>
      </c>
      <c r="L40" s="28">
        <v>0.41</v>
      </c>
      <c r="M40" s="28">
        <v>0.41</v>
      </c>
      <c r="N40" s="101">
        <v>0.37</v>
      </c>
      <c r="O40" s="28">
        <v>0.35</v>
      </c>
      <c r="P40" s="104">
        <v>0.33</v>
      </c>
      <c r="Q40" s="104">
        <v>0.33</v>
      </c>
      <c r="R40" s="105">
        <v>0.32</v>
      </c>
    </row>
    <row r="41" spans="1:18" ht="18" customHeight="1" x14ac:dyDescent="0.15">
      <c r="A41" s="107" t="s">
        <v>447</v>
      </c>
      <c r="B41" s="107" t="s">
        <v>452</v>
      </c>
      <c r="C41" s="28">
        <v>0.5</v>
      </c>
      <c r="D41" s="98">
        <v>0.47</v>
      </c>
      <c r="E41" s="99">
        <v>0.46</v>
      </c>
      <c r="F41" s="99">
        <v>0.46</v>
      </c>
      <c r="G41" s="99">
        <v>0.45</v>
      </c>
      <c r="H41" s="100">
        <v>0.45</v>
      </c>
      <c r="I41" s="98">
        <v>0.45</v>
      </c>
      <c r="J41" s="99">
        <v>0.45</v>
      </c>
      <c r="K41" s="99">
        <v>0.44</v>
      </c>
      <c r="L41" s="99">
        <v>0.43</v>
      </c>
      <c r="M41" s="100">
        <v>0.43</v>
      </c>
      <c r="N41" s="98">
        <v>0.43</v>
      </c>
      <c r="O41" s="99">
        <v>0.41</v>
      </c>
      <c r="P41" s="99">
        <v>0.4</v>
      </c>
      <c r="Q41" s="99">
        <v>0.39</v>
      </c>
      <c r="R41" s="100">
        <v>0.38</v>
      </c>
    </row>
    <row r="42" spans="1:18" ht="18" customHeight="1" x14ac:dyDescent="0.15">
      <c r="A42" s="107"/>
      <c r="B42" s="107" t="s">
        <v>443</v>
      </c>
      <c r="C42" s="28">
        <v>0.48</v>
      </c>
      <c r="D42" s="101">
        <v>0.43</v>
      </c>
      <c r="E42" s="28">
        <v>0.43</v>
      </c>
      <c r="F42" s="28">
        <v>0.42</v>
      </c>
      <c r="G42" s="28">
        <v>0.42</v>
      </c>
      <c r="H42" s="28">
        <v>0.42</v>
      </c>
      <c r="I42" s="101">
        <v>0.41</v>
      </c>
      <c r="J42" s="28">
        <v>0.4</v>
      </c>
      <c r="K42" s="28">
        <v>0.4</v>
      </c>
      <c r="L42" s="28">
        <v>0.39</v>
      </c>
      <c r="M42" s="102">
        <v>0.39</v>
      </c>
      <c r="N42" s="101">
        <v>0.38</v>
      </c>
      <c r="O42" s="28">
        <v>0.35</v>
      </c>
      <c r="P42" s="28">
        <v>0.34</v>
      </c>
      <c r="Q42" s="28">
        <v>0.33</v>
      </c>
      <c r="R42" s="102">
        <v>0.33</v>
      </c>
    </row>
    <row r="43" spans="1:18" ht="18" customHeight="1" x14ac:dyDescent="0.15">
      <c r="A43" s="107"/>
      <c r="B43" s="107" t="s">
        <v>444</v>
      </c>
      <c r="C43" s="28">
        <v>0.47</v>
      </c>
      <c r="D43" s="101">
        <v>0.43</v>
      </c>
      <c r="E43" s="28">
        <v>0.42</v>
      </c>
      <c r="F43" s="28">
        <v>0.42</v>
      </c>
      <c r="G43" s="28">
        <v>0.42</v>
      </c>
      <c r="H43" s="28">
        <v>0.41</v>
      </c>
      <c r="I43" s="101">
        <v>0.41</v>
      </c>
      <c r="J43" s="28">
        <v>0.39</v>
      </c>
      <c r="K43" s="28">
        <v>0.39</v>
      </c>
      <c r="L43" s="28">
        <v>0.39</v>
      </c>
      <c r="M43" s="102">
        <v>0.38</v>
      </c>
      <c r="N43" s="101">
        <v>0.36</v>
      </c>
      <c r="O43" s="28">
        <v>0.34</v>
      </c>
      <c r="P43" s="28">
        <v>0.33</v>
      </c>
      <c r="Q43" s="28">
        <v>0.32</v>
      </c>
      <c r="R43" s="102">
        <v>0.32</v>
      </c>
    </row>
    <row r="44" spans="1:18" ht="18" customHeight="1" x14ac:dyDescent="0.15">
      <c r="A44" s="107"/>
      <c r="B44" s="107" t="s">
        <v>445</v>
      </c>
      <c r="C44" s="28">
        <v>0.47</v>
      </c>
      <c r="D44" s="101">
        <v>0.43</v>
      </c>
      <c r="E44" s="28">
        <v>0.42</v>
      </c>
      <c r="F44" s="28">
        <v>0.42</v>
      </c>
      <c r="G44" s="28">
        <v>0.42</v>
      </c>
      <c r="H44" s="28">
        <v>0.42</v>
      </c>
      <c r="I44" s="101">
        <v>0.41</v>
      </c>
      <c r="J44" s="28">
        <v>0.39</v>
      </c>
      <c r="K44" s="28">
        <v>0.39</v>
      </c>
      <c r="L44" s="28">
        <v>0.39</v>
      </c>
      <c r="M44" s="102">
        <v>0.38</v>
      </c>
      <c r="N44" s="101">
        <v>0.36</v>
      </c>
      <c r="O44" s="28">
        <v>0.34</v>
      </c>
      <c r="P44" s="28">
        <v>0.32</v>
      </c>
      <c r="Q44" s="28">
        <v>0.32</v>
      </c>
      <c r="R44" s="102">
        <v>0.31</v>
      </c>
    </row>
    <row r="45" spans="1:18" ht="18" customHeight="1" x14ac:dyDescent="0.15">
      <c r="A45" s="107"/>
      <c r="B45" s="107" t="s">
        <v>446</v>
      </c>
      <c r="C45" s="28">
        <v>0.47</v>
      </c>
      <c r="D45" s="101">
        <v>0.43</v>
      </c>
      <c r="E45" s="28">
        <v>0.42</v>
      </c>
      <c r="F45" s="28">
        <v>0.42</v>
      </c>
      <c r="G45" s="28">
        <v>0.42</v>
      </c>
      <c r="H45" s="28">
        <v>0.42</v>
      </c>
      <c r="I45" s="101">
        <v>0.41</v>
      </c>
      <c r="J45" s="28">
        <v>0.4</v>
      </c>
      <c r="K45" s="28">
        <v>0.39</v>
      </c>
      <c r="L45" s="28">
        <v>0.39</v>
      </c>
      <c r="M45" s="102">
        <v>0.39</v>
      </c>
      <c r="N45" s="101">
        <v>0.36</v>
      </c>
      <c r="O45" s="28">
        <v>0.33</v>
      </c>
      <c r="P45" s="28">
        <v>0.32</v>
      </c>
      <c r="Q45" s="28">
        <v>0.31</v>
      </c>
      <c r="R45" s="102">
        <v>0.31</v>
      </c>
    </row>
    <row r="46" spans="1:18" ht="18" customHeight="1" thickBot="1" x14ac:dyDescent="0.2">
      <c r="A46" s="107"/>
      <c r="B46" s="107" t="s">
        <v>447</v>
      </c>
      <c r="C46" s="104">
        <v>0.47</v>
      </c>
      <c r="D46" s="103">
        <v>0.44</v>
      </c>
      <c r="E46" s="104">
        <v>0.43</v>
      </c>
      <c r="F46" s="104">
        <v>0.43</v>
      </c>
      <c r="G46" s="104">
        <v>0.43</v>
      </c>
      <c r="H46" s="104">
        <v>0.43</v>
      </c>
      <c r="I46" s="103">
        <v>0.41</v>
      </c>
      <c r="J46" s="112">
        <v>0.4</v>
      </c>
      <c r="K46" s="104">
        <v>0.4</v>
      </c>
      <c r="L46" s="104">
        <v>0.4</v>
      </c>
      <c r="M46" s="105">
        <v>0.4</v>
      </c>
      <c r="N46" s="103">
        <v>0.36</v>
      </c>
      <c r="O46" s="104">
        <v>0.33</v>
      </c>
      <c r="P46" s="104">
        <v>0.32</v>
      </c>
      <c r="Q46" s="104">
        <v>0.32</v>
      </c>
      <c r="R46" s="105">
        <v>0.31</v>
      </c>
    </row>
    <row r="48" spans="1:18" ht="18" customHeight="1" x14ac:dyDescent="0.15">
      <c r="A48" s="8" t="s">
        <v>459</v>
      </c>
      <c r="B48" s="8" t="s">
        <v>482</v>
      </c>
      <c r="C48" s="97" t="s">
        <v>451</v>
      </c>
      <c r="D48" s="93" t="s">
        <v>448</v>
      </c>
      <c r="E48" s="93"/>
      <c r="F48" s="93"/>
      <c r="G48" s="93"/>
      <c r="H48" s="93"/>
      <c r="I48" s="94" t="s">
        <v>449</v>
      </c>
      <c r="J48" s="94"/>
      <c r="K48" s="94"/>
      <c r="L48" s="94"/>
      <c r="M48" s="94"/>
      <c r="N48" s="95" t="s">
        <v>450</v>
      </c>
      <c r="O48" s="95"/>
      <c r="P48" s="95"/>
      <c r="Q48" s="96"/>
      <c r="R48" s="96"/>
    </row>
    <row r="49" spans="1:18" ht="18" customHeight="1" thickBot="1" x14ac:dyDescent="0.2">
      <c r="A49" s="8" t="s">
        <v>465</v>
      </c>
      <c r="B49" s="8" t="s">
        <v>483</v>
      </c>
      <c r="C49" s="97" t="s">
        <v>452</v>
      </c>
      <c r="D49" s="93" t="s">
        <v>443</v>
      </c>
      <c r="E49" s="93" t="s">
        <v>444</v>
      </c>
      <c r="F49" s="93" t="s">
        <v>445</v>
      </c>
      <c r="G49" s="93" t="s">
        <v>446</v>
      </c>
      <c r="H49" s="93" t="s">
        <v>447</v>
      </c>
      <c r="I49" s="94" t="s">
        <v>443</v>
      </c>
      <c r="J49" s="94" t="s">
        <v>444</v>
      </c>
      <c r="K49" s="94" t="s">
        <v>445</v>
      </c>
      <c r="L49" s="94" t="s">
        <v>446</v>
      </c>
      <c r="M49" s="94" t="s">
        <v>447</v>
      </c>
      <c r="N49" s="95" t="s">
        <v>443</v>
      </c>
      <c r="O49" s="95" t="s">
        <v>444</v>
      </c>
      <c r="P49" s="95" t="s">
        <v>445</v>
      </c>
      <c r="Q49" s="95" t="s">
        <v>446</v>
      </c>
      <c r="R49" s="95" t="s">
        <v>447</v>
      </c>
    </row>
    <row r="50" spans="1:18" ht="18" customHeight="1" x14ac:dyDescent="0.15">
      <c r="A50" s="97" t="s">
        <v>452</v>
      </c>
      <c r="B50" s="97" t="s">
        <v>452</v>
      </c>
      <c r="C50" s="28">
        <v>1.05</v>
      </c>
      <c r="D50" s="98">
        <v>1.03</v>
      </c>
      <c r="E50" s="99">
        <v>1.02</v>
      </c>
      <c r="F50" s="99">
        <v>1.02</v>
      </c>
      <c r="G50" s="99">
        <v>1.02</v>
      </c>
      <c r="H50" s="100">
        <v>1.01</v>
      </c>
      <c r="I50" s="98">
        <v>1.01</v>
      </c>
      <c r="J50" s="99">
        <v>1</v>
      </c>
      <c r="K50" s="99">
        <v>1</v>
      </c>
      <c r="L50" s="99">
        <v>0.99</v>
      </c>
      <c r="M50" s="100">
        <v>0.99</v>
      </c>
      <c r="N50" s="98">
        <v>0.98</v>
      </c>
      <c r="O50" s="99">
        <v>0.96</v>
      </c>
      <c r="P50" s="99">
        <v>0.95</v>
      </c>
      <c r="Q50" s="111">
        <v>0.94</v>
      </c>
      <c r="R50" s="100">
        <v>0.94</v>
      </c>
    </row>
    <row r="51" spans="1:18" ht="18" customHeight="1" x14ac:dyDescent="0.15">
      <c r="A51" s="97"/>
      <c r="B51" s="97" t="s">
        <v>443</v>
      </c>
      <c r="C51" s="28">
        <v>1.05</v>
      </c>
      <c r="D51" s="101">
        <v>1.03</v>
      </c>
      <c r="E51" s="28">
        <v>1.02</v>
      </c>
      <c r="F51" s="28">
        <v>1.02</v>
      </c>
      <c r="G51" s="28">
        <v>1.01</v>
      </c>
      <c r="H51" s="102">
        <v>1.01</v>
      </c>
      <c r="I51" s="101">
        <v>1.01</v>
      </c>
      <c r="J51" s="28">
        <v>1</v>
      </c>
      <c r="K51" s="28">
        <v>1</v>
      </c>
      <c r="L51" s="28">
        <v>0.99</v>
      </c>
      <c r="M51" s="102">
        <v>0.99</v>
      </c>
      <c r="N51" s="101">
        <v>0.98</v>
      </c>
      <c r="O51" s="28">
        <v>0.96</v>
      </c>
      <c r="P51" s="28">
        <v>0.95</v>
      </c>
      <c r="Q51" s="28">
        <v>0.94</v>
      </c>
      <c r="R51" s="102">
        <v>0.94</v>
      </c>
    </row>
    <row r="52" spans="1:18" ht="18" customHeight="1" x14ac:dyDescent="0.15">
      <c r="A52" s="97"/>
      <c r="B52" s="97" t="s">
        <v>444</v>
      </c>
      <c r="C52" s="28">
        <v>1.04</v>
      </c>
      <c r="D52" s="101">
        <v>1.01</v>
      </c>
      <c r="E52" s="28">
        <v>1.01</v>
      </c>
      <c r="F52" s="28">
        <v>1</v>
      </c>
      <c r="G52" s="28">
        <v>1</v>
      </c>
      <c r="H52" s="102">
        <v>0.99</v>
      </c>
      <c r="I52" s="101">
        <v>1</v>
      </c>
      <c r="J52" s="28">
        <v>0.99</v>
      </c>
      <c r="K52" s="28">
        <v>0.98</v>
      </c>
      <c r="L52" s="28">
        <v>0.98</v>
      </c>
      <c r="M52" s="102">
        <v>0.97</v>
      </c>
      <c r="N52" s="101">
        <v>0.96</v>
      </c>
      <c r="O52" s="28">
        <v>0.94</v>
      </c>
      <c r="P52" s="28">
        <v>0.93</v>
      </c>
      <c r="Q52" s="28">
        <v>0.92</v>
      </c>
      <c r="R52" s="102">
        <v>0.92</v>
      </c>
    </row>
    <row r="53" spans="1:18" ht="18" customHeight="1" x14ac:dyDescent="0.15">
      <c r="A53" s="97"/>
      <c r="B53" s="97" t="s">
        <v>445</v>
      </c>
      <c r="C53" s="28">
        <v>1.01</v>
      </c>
      <c r="D53" s="101">
        <v>0.99</v>
      </c>
      <c r="E53" s="28">
        <v>0.98</v>
      </c>
      <c r="F53" s="28">
        <v>0.98</v>
      </c>
      <c r="G53" s="28">
        <v>0.97</v>
      </c>
      <c r="H53" s="102">
        <v>0.97</v>
      </c>
      <c r="I53" s="101">
        <v>0.97</v>
      </c>
      <c r="J53" s="28">
        <v>0.96</v>
      </c>
      <c r="K53" s="28">
        <v>0.96</v>
      </c>
      <c r="L53" s="28">
        <v>0.95</v>
      </c>
      <c r="M53" s="102">
        <v>0.95</v>
      </c>
      <c r="N53" s="101">
        <v>0.94</v>
      </c>
      <c r="O53" s="28">
        <v>0.92</v>
      </c>
      <c r="P53" s="28">
        <v>0.9</v>
      </c>
      <c r="Q53" s="28">
        <v>0.9</v>
      </c>
      <c r="R53" s="102">
        <v>0.89</v>
      </c>
    </row>
    <row r="54" spans="1:18" ht="18" customHeight="1" x14ac:dyDescent="0.15">
      <c r="A54" s="97"/>
      <c r="B54" s="97" t="s">
        <v>446</v>
      </c>
      <c r="C54" s="28">
        <v>0.99</v>
      </c>
      <c r="D54" s="101">
        <v>0.96</v>
      </c>
      <c r="E54" s="28">
        <v>0.96</v>
      </c>
      <c r="F54" s="28">
        <v>0.95</v>
      </c>
      <c r="G54" s="28">
        <v>0.95</v>
      </c>
      <c r="H54" s="102">
        <v>0.94</v>
      </c>
      <c r="I54" s="101">
        <v>0.95</v>
      </c>
      <c r="J54" s="28">
        <v>0.94</v>
      </c>
      <c r="K54" s="28">
        <v>0.93</v>
      </c>
      <c r="L54" s="28">
        <v>0.93</v>
      </c>
      <c r="M54" s="102">
        <v>0.92</v>
      </c>
      <c r="N54" s="101">
        <v>0.91</v>
      </c>
      <c r="O54" s="28">
        <v>0.89</v>
      </c>
      <c r="P54" s="28">
        <v>0.88</v>
      </c>
      <c r="Q54" s="28">
        <v>0.87</v>
      </c>
      <c r="R54" s="102">
        <v>0.86</v>
      </c>
    </row>
    <row r="55" spans="1:18" ht="18" customHeight="1" thickBot="1" x14ac:dyDescent="0.2">
      <c r="A55" s="97"/>
      <c r="B55" s="97" t="s">
        <v>447</v>
      </c>
      <c r="C55" s="104">
        <v>0.96</v>
      </c>
      <c r="D55" s="103">
        <v>0.94</v>
      </c>
      <c r="E55" s="104">
        <v>0.93</v>
      </c>
      <c r="F55" s="104">
        <v>0.93</v>
      </c>
      <c r="G55" s="104">
        <v>0.92</v>
      </c>
      <c r="H55" s="105">
        <v>0.92</v>
      </c>
      <c r="I55" s="103">
        <v>0.92</v>
      </c>
      <c r="J55" s="104">
        <v>0.91</v>
      </c>
      <c r="K55" s="104">
        <v>0.91</v>
      </c>
      <c r="L55" s="104">
        <v>0.9</v>
      </c>
      <c r="M55" s="105">
        <v>0.9</v>
      </c>
      <c r="N55" s="103">
        <v>0.88</v>
      </c>
      <c r="O55" s="104">
        <v>0.86</v>
      </c>
      <c r="P55" s="104">
        <v>0.85</v>
      </c>
      <c r="Q55" s="104">
        <v>0.84</v>
      </c>
      <c r="R55" s="105">
        <v>0.84</v>
      </c>
    </row>
    <row r="56" spans="1:18" ht="18" customHeight="1" x14ac:dyDescent="0.15">
      <c r="A56" s="93" t="s">
        <v>443</v>
      </c>
      <c r="B56" s="93" t="s">
        <v>452</v>
      </c>
      <c r="C56" s="28">
        <v>0.61</v>
      </c>
      <c r="D56" s="98">
        <v>0.6</v>
      </c>
      <c r="E56" s="99">
        <v>0.6</v>
      </c>
      <c r="F56" s="99">
        <v>0.59</v>
      </c>
      <c r="G56" s="99">
        <v>0.59</v>
      </c>
      <c r="H56" s="100">
        <v>0.59</v>
      </c>
      <c r="I56" s="98">
        <v>0.59</v>
      </c>
      <c r="J56" s="99">
        <v>0.59</v>
      </c>
      <c r="K56" s="99">
        <v>0.57999999999999996</v>
      </c>
      <c r="L56" s="99">
        <v>0.57999999999999996</v>
      </c>
      <c r="M56" s="100">
        <v>0.57999999999999996</v>
      </c>
      <c r="N56" s="98">
        <v>0.56999999999999995</v>
      </c>
      <c r="O56" s="99">
        <v>0.56000000000000005</v>
      </c>
      <c r="P56" s="99">
        <v>0.55000000000000004</v>
      </c>
      <c r="Q56" s="99">
        <v>0.55000000000000004</v>
      </c>
      <c r="R56" s="100">
        <v>0.55000000000000004</v>
      </c>
    </row>
    <row r="57" spans="1:18" ht="18" customHeight="1" x14ac:dyDescent="0.15">
      <c r="A57" s="93"/>
      <c r="B57" s="93" t="s">
        <v>443</v>
      </c>
      <c r="C57" s="28">
        <v>0.63</v>
      </c>
      <c r="D57" s="101">
        <v>0.61</v>
      </c>
      <c r="E57" s="28">
        <v>0.61</v>
      </c>
      <c r="F57" s="28">
        <v>0.61</v>
      </c>
      <c r="G57" s="28">
        <v>0.61</v>
      </c>
      <c r="H57" s="102">
        <v>0.6</v>
      </c>
      <c r="I57" s="101">
        <v>0.6</v>
      </c>
      <c r="J57" s="28">
        <v>0.6</v>
      </c>
      <c r="K57" s="28">
        <v>0.6</v>
      </c>
      <c r="L57" s="28">
        <v>0.59</v>
      </c>
      <c r="M57" s="102">
        <v>0.59</v>
      </c>
      <c r="N57" s="101">
        <v>0.57999999999999996</v>
      </c>
      <c r="O57" s="28">
        <v>0.56999999999999995</v>
      </c>
      <c r="P57" s="28">
        <v>0.56000000000000005</v>
      </c>
      <c r="Q57" s="28">
        <v>0.56000000000000005</v>
      </c>
      <c r="R57" s="102">
        <v>0.55000000000000004</v>
      </c>
    </row>
    <row r="58" spans="1:18" ht="18" customHeight="1" x14ac:dyDescent="0.15">
      <c r="A58" s="93"/>
      <c r="B58" s="93" t="s">
        <v>444</v>
      </c>
      <c r="C58" s="28">
        <v>0.64</v>
      </c>
      <c r="D58" s="101">
        <v>0.62</v>
      </c>
      <c r="E58" s="28">
        <v>0.62</v>
      </c>
      <c r="F58" s="28">
        <v>0.62</v>
      </c>
      <c r="G58" s="28">
        <v>0.62</v>
      </c>
      <c r="H58" s="102">
        <v>0.61</v>
      </c>
      <c r="I58" s="101">
        <v>0.61</v>
      </c>
      <c r="J58" s="28">
        <v>0.61</v>
      </c>
      <c r="K58" s="28">
        <v>0.6</v>
      </c>
      <c r="L58" s="28">
        <v>0.6</v>
      </c>
      <c r="M58" s="102">
        <v>0.6</v>
      </c>
      <c r="N58" s="101">
        <v>0.59</v>
      </c>
      <c r="O58" s="28">
        <v>0.56999999999999995</v>
      </c>
      <c r="P58" s="28">
        <v>0.56999999999999995</v>
      </c>
      <c r="Q58" s="28">
        <v>0.56000000000000005</v>
      </c>
      <c r="R58" s="102">
        <v>0.56000000000000005</v>
      </c>
    </row>
    <row r="59" spans="1:18" ht="18" customHeight="1" x14ac:dyDescent="0.15">
      <c r="A59" s="93"/>
      <c r="B59" s="93" t="s">
        <v>445</v>
      </c>
      <c r="C59" s="28">
        <v>0.64</v>
      </c>
      <c r="D59" s="101">
        <v>0.63</v>
      </c>
      <c r="E59" s="28">
        <v>0.62</v>
      </c>
      <c r="F59" s="28">
        <v>0.62</v>
      </c>
      <c r="G59" s="28">
        <v>0.62</v>
      </c>
      <c r="H59" s="102">
        <v>0.62</v>
      </c>
      <c r="I59" s="101">
        <v>0.62</v>
      </c>
      <c r="J59" s="28">
        <v>0.61</v>
      </c>
      <c r="K59" s="28">
        <v>0.61</v>
      </c>
      <c r="L59" s="28">
        <v>0.6</v>
      </c>
      <c r="M59" s="102">
        <v>0.6</v>
      </c>
      <c r="N59" s="101">
        <v>0.59</v>
      </c>
      <c r="O59" s="28">
        <v>0.57999999999999996</v>
      </c>
      <c r="P59" s="28">
        <v>0.56999999999999995</v>
      </c>
      <c r="Q59" s="28">
        <v>0.56000000000000005</v>
      </c>
      <c r="R59" s="102">
        <v>0.56000000000000005</v>
      </c>
    </row>
    <row r="60" spans="1:18" ht="18" customHeight="1" x14ac:dyDescent="0.15">
      <c r="A60" s="93"/>
      <c r="B60" s="93" t="s">
        <v>446</v>
      </c>
      <c r="C60" s="28">
        <v>0.64</v>
      </c>
      <c r="D60" s="101">
        <v>0.63</v>
      </c>
      <c r="E60" s="28">
        <v>0.62</v>
      </c>
      <c r="F60" s="28">
        <v>0.62</v>
      </c>
      <c r="G60" s="28">
        <v>0.62</v>
      </c>
      <c r="H60" s="102">
        <v>0.62</v>
      </c>
      <c r="I60" s="101">
        <v>0.62</v>
      </c>
      <c r="J60" s="28">
        <v>0.61</v>
      </c>
      <c r="K60" s="28">
        <v>0.61</v>
      </c>
      <c r="L60" s="28">
        <v>0.6</v>
      </c>
      <c r="M60" s="102">
        <v>0.6</v>
      </c>
      <c r="N60" s="101">
        <v>0.59</v>
      </c>
      <c r="O60" s="28">
        <v>0.57999999999999996</v>
      </c>
      <c r="P60" s="28">
        <v>0.56999999999999995</v>
      </c>
      <c r="Q60" s="28">
        <v>0.56000000000000005</v>
      </c>
      <c r="R60" s="102">
        <v>0.56000000000000005</v>
      </c>
    </row>
    <row r="61" spans="1:18" ht="18" customHeight="1" thickBot="1" x14ac:dyDescent="0.2">
      <c r="A61" s="93"/>
      <c r="B61" s="93" t="s">
        <v>447</v>
      </c>
      <c r="C61" s="105">
        <v>0.64</v>
      </c>
      <c r="D61" s="103">
        <v>0.63</v>
      </c>
      <c r="E61" s="104">
        <v>0.62</v>
      </c>
      <c r="F61" s="104">
        <v>0.62</v>
      </c>
      <c r="G61" s="104">
        <v>0.62</v>
      </c>
      <c r="H61" s="105">
        <v>0.61</v>
      </c>
      <c r="I61" s="103">
        <v>0.61</v>
      </c>
      <c r="J61" s="104">
        <v>0.61</v>
      </c>
      <c r="K61" s="104">
        <v>0.6</v>
      </c>
      <c r="L61" s="104">
        <v>0.6</v>
      </c>
      <c r="M61" s="105">
        <v>0.6</v>
      </c>
      <c r="N61" s="103">
        <v>0.59</v>
      </c>
      <c r="O61" s="104">
        <v>0.56999999999999995</v>
      </c>
      <c r="P61" s="104">
        <v>0.56999999999999995</v>
      </c>
      <c r="Q61" s="104">
        <v>0.56000000000000005</v>
      </c>
      <c r="R61" s="105">
        <v>0.56000000000000005</v>
      </c>
    </row>
    <row r="62" spans="1:18" ht="18" customHeight="1" x14ac:dyDescent="0.15">
      <c r="A62" s="94" t="s">
        <v>444</v>
      </c>
      <c r="B62" s="94" t="s">
        <v>452</v>
      </c>
      <c r="C62" s="28">
        <v>0.56000000000000005</v>
      </c>
      <c r="D62" s="98">
        <v>0.55000000000000004</v>
      </c>
      <c r="E62" s="99">
        <v>0.55000000000000004</v>
      </c>
      <c r="F62" s="99">
        <v>0.54</v>
      </c>
      <c r="G62" s="99">
        <v>0.54</v>
      </c>
      <c r="H62" s="100">
        <v>0.54</v>
      </c>
      <c r="I62" s="98">
        <v>0.54</v>
      </c>
      <c r="J62" s="99">
        <v>0.54</v>
      </c>
      <c r="K62" s="99">
        <v>0.53</v>
      </c>
      <c r="L62" s="99">
        <v>0.53</v>
      </c>
      <c r="M62" s="100">
        <v>0.53</v>
      </c>
      <c r="N62" s="98">
        <v>0.52</v>
      </c>
      <c r="O62" s="99">
        <v>0.51</v>
      </c>
      <c r="P62" s="99">
        <v>0.51</v>
      </c>
      <c r="Q62" s="99">
        <v>0.5</v>
      </c>
      <c r="R62" s="100">
        <v>0.5</v>
      </c>
    </row>
    <row r="63" spans="1:18" ht="18" customHeight="1" x14ac:dyDescent="0.15">
      <c r="A63" s="94"/>
      <c r="B63" s="94" t="s">
        <v>443</v>
      </c>
      <c r="C63" s="28">
        <v>0.55000000000000004</v>
      </c>
      <c r="D63" s="101">
        <v>0.54</v>
      </c>
      <c r="E63" s="28">
        <v>0.53</v>
      </c>
      <c r="F63" s="28">
        <v>0.53</v>
      </c>
      <c r="G63" s="28">
        <v>0.53</v>
      </c>
      <c r="H63" s="102">
        <v>0.53</v>
      </c>
      <c r="I63" s="101">
        <v>0.53</v>
      </c>
      <c r="J63" s="28">
        <v>0.52</v>
      </c>
      <c r="K63" s="28">
        <v>0.52</v>
      </c>
      <c r="L63" s="28">
        <v>0.52</v>
      </c>
      <c r="M63" s="102">
        <v>0.52</v>
      </c>
      <c r="N63" s="101">
        <v>0.51</v>
      </c>
      <c r="O63" s="28">
        <v>0.49</v>
      </c>
      <c r="P63" s="28">
        <v>0.49</v>
      </c>
      <c r="Q63" s="28">
        <v>0.48</v>
      </c>
      <c r="R63" s="102">
        <v>0.48</v>
      </c>
    </row>
    <row r="64" spans="1:18" ht="18" customHeight="1" x14ac:dyDescent="0.15">
      <c r="A64" s="94"/>
      <c r="B64" s="94" t="s">
        <v>444</v>
      </c>
      <c r="C64" s="28">
        <v>0.56000000000000005</v>
      </c>
      <c r="D64" s="101">
        <v>0.54</v>
      </c>
      <c r="E64" s="28">
        <v>0.54</v>
      </c>
      <c r="F64" s="28">
        <v>0.54</v>
      </c>
      <c r="G64" s="28">
        <v>0.54</v>
      </c>
      <c r="H64" s="102">
        <v>0.53</v>
      </c>
      <c r="I64" s="101">
        <v>0.53</v>
      </c>
      <c r="J64" s="28">
        <v>0.53</v>
      </c>
      <c r="K64" s="28">
        <v>0.52</v>
      </c>
      <c r="L64" s="28">
        <v>0.52</v>
      </c>
      <c r="M64" s="102">
        <v>0.52</v>
      </c>
      <c r="N64" s="101">
        <v>0.51</v>
      </c>
      <c r="O64" s="28">
        <v>0.5</v>
      </c>
      <c r="P64" s="28">
        <v>0.49</v>
      </c>
      <c r="Q64" s="28">
        <v>0.49</v>
      </c>
      <c r="R64" s="102">
        <v>0.49</v>
      </c>
    </row>
    <row r="65" spans="1:18" ht="18" customHeight="1" x14ac:dyDescent="0.15">
      <c r="A65" s="94"/>
      <c r="B65" s="94" t="s">
        <v>445</v>
      </c>
      <c r="C65" s="28">
        <v>0.56000000000000005</v>
      </c>
      <c r="D65" s="101">
        <v>0.55000000000000004</v>
      </c>
      <c r="E65" s="28">
        <v>0.54</v>
      </c>
      <c r="F65" s="28">
        <v>0.54</v>
      </c>
      <c r="G65" s="28">
        <v>0.54</v>
      </c>
      <c r="H65" s="102">
        <v>0.54</v>
      </c>
      <c r="I65" s="101">
        <v>0.54</v>
      </c>
      <c r="J65" s="28">
        <v>0.53</v>
      </c>
      <c r="K65" s="28">
        <v>0.53</v>
      </c>
      <c r="L65" s="28">
        <v>0.53</v>
      </c>
      <c r="M65" s="102">
        <v>0.52</v>
      </c>
      <c r="N65" s="101">
        <v>0.51</v>
      </c>
      <c r="O65" s="28">
        <v>0.5</v>
      </c>
      <c r="P65" s="28">
        <v>0.5</v>
      </c>
      <c r="Q65" s="28">
        <v>0.49</v>
      </c>
      <c r="R65" s="102">
        <v>0.49</v>
      </c>
    </row>
    <row r="66" spans="1:18" ht="18" customHeight="1" x14ac:dyDescent="0.15">
      <c r="A66" s="94"/>
      <c r="B66" s="94" t="s">
        <v>446</v>
      </c>
      <c r="C66" s="28">
        <v>0.56000000000000005</v>
      </c>
      <c r="D66" s="109">
        <v>0.55000000000000004</v>
      </c>
      <c r="E66" s="28">
        <v>0.54</v>
      </c>
      <c r="F66" s="28">
        <v>0.54</v>
      </c>
      <c r="G66" s="28">
        <v>0.54</v>
      </c>
      <c r="H66" s="102">
        <v>0.54</v>
      </c>
      <c r="I66" s="101">
        <v>0.54</v>
      </c>
      <c r="J66" s="28">
        <v>0.53</v>
      </c>
      <c r="K66" s="28">
        <v>0.53</v>
      </c>
      <c r="L66" s="28">
        <v>0.53</v>
      </c>
      <c r="M66" s="102">
        <v>0.52</v>
      </c>
      <c r="N66" s="101">
        <v>0.51</v>
      </c>
      <c r="O66" s="28">
        <v>0.5</v>
      </c>
      <c r="P66" s="28">
        <v>0.5</v>
      </c>
      <c r="Q66" s="28">
        <v>0.49</v>
      </c>
      <c r="R66" s="102">
        <v>0.49</v>
      </c>
    </row>
    <row r="67" spans="1:18" ht="18" customHeight="1" thickBot="1" x14ac:dyDescent="0.2">
      <c r="A67" s="94"/>
      <c r="B67" s="94" t="s">
        <v>447</v>
      </c>
      <c r="C67" s="105">
        <v>0.56000000000000005</v>
      </c>
      <c r="D67" s="103">
        <v>0.55000000000000004</v>
      </c>
      <c r="E67" s="104">
        <v>0.54</v>
      </c>
      <c r="F67" s="104">
        <v>0.54</v>
      </c>
      <c r="G67" s="104">
        <v>0.54</v>
      </c>
      <c r="H67" s="105">
        <v>0.54</v>
      </c>
      <c r="I67" s="103">
        <v>0.54</v>
      </c>
      <c r="J67" s="104">
        <v>0.53</v>
      </c>
      <c r="K67" s="104">
        <v>0.53</v>
      </c>
      <c r="L67" s="104">
        <v>0.53</v>
      </c>
      <c r="M67" s="105">
        <v>0.52</v>
      </c>
      <c r="N67" s="103">
        <v>0.51</v>
      </c>
      <c r="O67" s="104">
        <v>0.5</v>
      </c>
      <c r="P67" s="104">
        <v>0.49</v>
      </c>
      <c r="Q67" s="104">
        <v>0.49</v>
      </c>
      <c r="R67" s="105">
        <v>0.49</v>
      </c>
    </row>
    <row r="68" spans="1:18" ht="18" customHeight="1" x14ac:dyDescent="0.15">
      <c r="A68" s="95" t="s">
        <v>445</v>
      </c>
      <c r="B68" s="95" t="s">
        <v>452</v>
      </c>
      <c r="C68" s="28">
        <v>0.53</v>
      </c>
      <c r="D68" s="98">
        <v>0.52</v>
      </c>
      <c r="E68" s="99">
        <v>0.52</v>
      </c>
      <c r="F68" s="99">
        <v>0.52</v>
      </c>
      <c r="G68" s="99">
        <v>0.52</v>
      </c>
      <c r="H68" s="100">
        <v>0.52</v>
      </c>
      <c r="I68" s="98">
        <v>0.51</v>
      </c>
      <c r="J68" s="99">
        <v>0.51</v>
      </c>
      <c r="K68" s="99">
        <v>0.51</v>
      </c>
      <c r="L68" s="99">
        <v>0.51</v>
      </c>
      <c r="M68" s="100">
        <v>0.5</v>
      </c>
      <c r="N68" s="98">
        <v>0.5</v>
      </c>
      <c r="O68" s="99">
        <v>0.49</v>
      </c>
      <c r="P68" s="99">
        <v>0.48</v>
      </c>
      <c r="Q68" s="99">
        <v>0.48</v>
      </c>
      <c r="R68" s="100">
        <v>0.48</v>
      </c>
    </row>
    <row r="69" spans="1:18" ht="18" customHeight="1" x14ac:dyDescent="0.15">
      <c r="A69" s="95"/>
      <c r="B69" s="95" t="s">
        <v>443</v>
      </c>
      <c r="C69" s="28">
        <v>0.51</v>
      </c>
      <c r="D69" s="101">
        <v>0.5</v>
      </c>
      <c r="E69" s="28">
        <v>0.5</v>
      </c>
      <c r="F69" s="28">
        <v>0.5</v>
      </c>
      <c r="G69" s="28">
        <v>0.5</v>
      </c>
      <c r="H69" s="102">
        <v>0.49</v>
      </c>
      <c r="I69" s="101">
        <v>0.49</v>
      </c>
      <c r="J69" s="28">
        <v>0.49</v>
      </c>
      <c r="K69" s="28">
        <v>0.49</v>
      </c>
      <c r="L69" s="28">
        <v>0.48</v>
      </c>
      <c r="M69" s="102">
        <v>0.48</v>
      </c>
      <c r="N69" s="101">
        <v>0.47</v>
      </c>
      <c r="O69" s="28">
        <v>0.46</v>
      </c>
      <c r="P69" s="28">
        <v>0.46</v>
      </c>
      <c r="Q69" s="28">
        <v>0.45</v>
      </c>
      <c r="R69" s="102">
        <v>0.45</v>
      </c>
    </row>
    <row r="70" spans="1:18" ht="18" customHeight="1" x14ac:dyDescent="0.15">
      <c r="A70" s="95"/>
      <c r="B70" s="95" t="s">
        <v>444</v>
      </c>
      <c r="C70" s="28">
        <v>0.52</v>
      </c>
      <c r="D70" s="101">
        <v>0.5</v>
      </c>
      <c r="E70" s="28">
        <v>0.5</v>
      </c>
      <c r="F70" s="28">
        <v>0.5</v>
      </c>
      <c r="G70" s="28">
        <v>0.5</v>
      </c>
      <c r="H70" s="102">
        <v>0.5</v>
      </c>
      <c r="I70" s="101">
        <v>0.5</v>
      </c>
      <c r="J70" s="28">
        <v>0.49</v>
      </c>
      <c r="K70" s="28">
        <v>0.49</v>
      </c>
      <c r="L70" s="28">
        <v>0.49</v>
      </c>
      <c r="M70" s="102">
        <v>0.48</v>
      </c>
      <c r="N70" s="101">
        <v>0.48</v>
      </c>
      <c r="O70" s="28">
        <v>0.46</v>
      </c>
      <c r="P70" s="28">
        <v>0.46</v>
      </c>
      <c r="Q70" s="28">
        <v>0.45</v>
      </c>
      <c r="R70" s="102">
        <v>0.45</v>
      </c>
    </row>
    <row r="71" spans="1:18" ht="18" customHeight="1" x14ac:dyDescent="0.15">
      <c r="A71" s="95"/>
      <c r="B71" s="95" t="s">
        <v>445</v>
      </c>
      <c r="C71" s="28">
        <v>0.52</v>
      </c>
      <c r="D71" s="101">
        <v>0.51</v>
      </c>
      <c r="E71" s="28">
        <v>0.5</v>
      </c>
      <c r="F71" s="28">
        <v>0.5</v>
      </c>
      <c r="G71" s="28">
        <v>0.5</v>
      </c>
      <c r="H71" s="102">
        <v>0.5</v>
      </c>
      <c r="I71" s="101">
        <v>0.5</v>
      </c>
      <c r="J71" s="28">
        <v>0.49</v>
      </c>
      <c r="K71" s="28">
        <v>0.49</v>
      </c>
      <c r="L71" s="28">
        <v>0.49</v>
      </c>
      <c r="M71" s="102">
        <v>0.49</v>
      </c>
      <c r="N71" s="101">
        <v>0.48</v>
      </c>
      <c r="O71" s="28">
        <v>0.46</v>
      </c>
      <c r="P71" s="28">
        <v>0.46</v>
      </c>
      <c r="Q71" s="28">
        <v>0.45</v>
      </c>
      <c r="R71" s="102">
        <v>0.45</v>
      </c>
    </row>
    <row r="72" spans="1:18" ht="18" customHeight="1" x14ac:dyDescent="0.15">
      <c r="A72" s="95"/>
      <c r="B72" s="95" t="s">
        <v>446</v>
      </c>
      <c r="C72" s="28">
        <v>0.52</v>
      </c>
      <c r="D72" s="101">
        <v>0.51</v>
      </c>
      <c r="E72" s="28">
        <v>0.5</v>
      </c>
      <c r="F72" s="28">
        <v>0.5</v>
      </c>
      <c r="G72" s="28">
        <v>0.5</v>
      </c>
      <c r="H72" s="102">
        <v>0.5</v>
      </c>
      <c r="I72" s="101">
        <v>0.5</v>
      </c>
      <c r="J72" s="28">
        <v>0.49</v>
      </c>
      <c r="K72" s="28">
        <v>0.49</v>
      </c>
      <c r="L72" s="28">
        <v>0.49</v>
      </c>
      <c r="M72" s="102">
        <v>0.49</v>
      </c>
      <c r="N72" s="101">
        <v>0.48</v>
      </c>
      <c r="O72" s="28">
        <v>0.46</v>
      </c>
      <c r="P72" s="28">
        <v>0.46</v>
      </c>
      <c r="Q72" s="28">
        <v>0.45</v>
      </c>
      <c r="R72" s="102">
        <v>0.45</v>
      </c>
    </row>
    <row r="73" spans="1:18" ht="18" customHeight="1" thickBot="1" x14ac:dyDescent="0.2">
      <c r="A73" s="95"/>
      <c r="B73" s="95" t="s">
        <v>447</v>
      </c>
      <c r="C73" s="105">
        <v>0.52</v>
      </c>
      <c r="D73" s="103">
        <v>0.51</v>
      </c>
      <c r="E73" s="104">
        <v>0.5</v>
      </c>
      <c r="F73" s="104">
        <v>0.5</v>
      </c>
      <c r="G73" s="104">
        <v>0.5</v>
      </c>
      <c r="H73" s="105">
        <v>0.5</v>
      </c>
      <c r="I73" s="103">
        <v>0.5</v>
      </c>
      <c r="J73" s="104">
        <v>0.49</v>
      </c>
      <c r="K73" s="104">
        <v>0.49</v>
      </c>
      <c r="L73" s="104">
        <v>0.49</v>
      </c>
      <c r="M73" s="105">
        <v>0.49</v>
      </c>
      <c r="N73" s="103">
        <v>0.48</v>
      </c>
      <c r="O73" s="104">
        <v>0.46</v>
      </c>
      <c r="P73" s="104">
        <v>0.46</v>
      </c>
      <c r="Q73" s="104">
        <v>0.45</v>
      </c>
      <c r="R73" s="105">
        <v>0.45</v>
      </c>
    </row>
    <row r="74" spans="1:18" ht="18" customHeight="1" x14ac:dyDescent="0.15">
      <c r="A74" s="106" t="s">
        <v>446</v>
      </c>
      <c r="B74" s="106" t="s">
        <v>452</v>
      </c>
      <c r="C74" s="28">
        <v>0.51</v>
      </c>
      <c r="D74" s="98">
        <v>0.5</v>
      </c>
      <c r="E74" s="99">
        <v>0.5</v>
      </c>
      <c r="F74" s="99">
        <v>0.5</v>
      </c>
      <c r="G74" s="99">
        <v>0.5</v>
      </c>
      <c r="H74" s="100">
        <v>0.5</v>
      </c>
      <c r="I74" s="98">
        <v>0.5</v>
      </c>
      <c r="J74" s="99">
        <v>0.49</v>
      </c>
      <c r="K74" s="99">
        <v>0.49</v>
      </c>
      <c r="L74" s="99">
        <v>0.49</v>
      </c>
      <c r="M74" s="100">
        <v>0.49</v>
      </c>
      <c r="N74" s="98">
        <v>0.48</v>
      </c>
      <c r="O74" s="99">
        <v>0.47</v>
      </c>
      <c r="P74" s="99">
        <v>0.47</v>
      </c>
      <c r="Q74" s="99">
        <v>0.46</v>
      </c>
      <c r="R74" s="100">
        <v>0.46</v>
      </c>
    </row>
    <row r="75" spans="1:18" ht="18" customHeight="1" x14ac:dyDescent="0.15">
      <c r="A75" s="106"/>
      <c r="B75" s="106" t="s">
        <v>443</v>
      </c>
      <c r="C75" s="28">
        <v>0.49</v>
      </c>
      <c r="D75" s="101">
        <v>0.48</v>
      </c>
      <c r="E75" s="28">
        <v>0.48</v>
      </c>
      <c r="F75" s="28">
        <v>0.48</v>
      </c>
      <c r="G75" s="28">
        <v>0.47</v>
      </c>
      <c r="H75" s="102">
        <v>0.47</v>
      </c>
      <c r="I75" s="101">
        <v>0.47</v>
      </c>
      <c r="J75" s="28">
        <v>0.47</v>
      </c>
      <c r="K75" s="28">
        <v>0.47</v>
      </c>
      <c r="L75" s="28">
        <v>0.46</v>
      </c>
      <c r="M75" s="102">
        <v>0.46</v>
      </c>
      <c r="N75" s="101">
        <v>0.45</v>
      </c>
      <c r="O75" s="28">
        <v>0.44</v>
      </c>
      <c r="P75" s="28">
        <v>0.44</v>
      </c>
      <c r="Q75" s="28">
        <v>0.43</v>
      </c>
      <c r="R75" s="102">
        <v>0.43</v>
      </c>
    </row>
    <row r="76" spans="1:18" ht="18" customHeight="1" x14ac:dyDescent="0.15">
      <c r="A76" s="106"/>
      <c r="B76" s="106" t="s">
        <v>444</v>
      </c>
      <c r="C76" s="28">
        <v>0.49</v>
      </c>
      <c r="D76" s="101">
        <v>0.48</v>
      </c>
      <c r="E76" s="28">
        <v>0.48</v>
      </c>
      <c r="F76" s="28">
        <v>0.48</v>
      </c>
      <c r="G76" s="28">
        <v>0.47</v>
      </c>
      <c r="H76" s="102">
        <v>0.47</v>
      </c>
      <c r="I76" s="101">
        <v>0.47</v>
      </c>
      <c r="J76" s="28">
        <v>0.47</v>
      </c>
      <c r="K76" s="28">
        <v>0.47</v>
      </c>
      <c r="L76" s="28">
        <v>0.46</v>
      </c>
      <c r="M76" s="102">
        <v>0.46</v>
      </c>
      <c r="N76" s="101">
        <v>0.45</v>
      </c>
      <c r="O76" s="28">
        <v>0.44</v>
      </c>
      <c r="P76" s="28">
        <v>0.44</v>
      </c>
      <c r="Q76" s="28">
        <v>0.43</v>
      </c>
      <c r="R76" s="102">
        <v>0.43</v>
      </c>
    </row>
    <row r="77" spans="1:18" ht="18" customHeight="1" x14ac:dyDescent="0.15">
      <c r="A77" s="106"/>
      <c r="B77" s="106" t="s">
        <v>445</v>
      </c>
      <c r="C77" s="28">
        <v>0.49</v>
      </c>
      <c r="D77" s="101">
        <v>0.48</v>
      </c>
      <c r="E77" s="28">
        <v>0.48</v>
      </c>
      <c r="F77" s="28">
        <v>0.48</v>
      </c>
      <c r="G77" s="28">
        <v>0.48</v>
      </c>
      <c r="H77" s="102">
        <v>0.47</v>
      </c>
      <c r="I77" s="101">
        <v>0.47</v>
      </c>
      <c r="J77" s="28">
        <v>0.47</v>
      </c>
      <c r="K77" s="28">
        <v>0.47</v>
      </c>
      <c r="L77" s="28">
        <v>0.46</v>
      </c>
      <c r="M77" s="102">
        <v>0.46</v>
      </c>
      <c r="N77" s="101">
        <v>0.45</v>
      </c>
      <c r="O77" s="28">
        <v>0.44</v>
      </c>
      <c r="P77" s="28">
        <v>0.44</v>
      </c>
      <c r="Q77" s="28">
        <v>0.43</v>
      </c>
      <c r="R77" s="102">
        <v>0.43</v>
      </c>
    </row>
    <row r="78" spans="1:18" ht="18" customHeight="1" x14ac:dyDescent="0.15">
      <c r="A78" s="106"/>
      <c r="B78" s="106" t="s">
        <v>446</v>
      </c>
      <c r="C78" s="110">
        <v>0.49</v>
      </c>
      <c r="D78" s="101">
        <v>0.48</v>
      </c>
      <c r="E78" s="28">
        <v>0.48</v>
      </c>
      <c r="F78" s="28">
        <v>0.48</v>
      </c>
      <c r="G78" s="28">
        <v>0.48</v>
      </c>
      <c r="H78" s="102">
        <v>0.47</v>
      </c>
      <c r="I78" s="101">
        <v>0.47</v>
      </c>
      <c r="J78" s="28">
        <v>0.47</v>
      </c>
      <c r="K78" s="28">
        <v>0.47</v>
      </c>
      <c r="L78" s="28">
        <v>0.46</v>
      </c>
      <c r="M78" s="102">
        <v>0.46</v>
      </c>
      <c r="N78" s="101">
        <v>0.45</v>
      </c>
      <c r="O78" s="28">
        <v>0.44</v>
      </c>
      <c r="P78" s="28">
        <v>0.43</v>
      </c>
      <c r="Q78" s="28">
        <v>0.43</v>
      </c>
      <c r="R78" s="102">
        <v>0.43</v>
      </c>
    </row>
    <row r="79" spans="1:18" ht="18" customHeight="1" thickBot="1" x14ac:dyDescent="0.2">
      <c r="A79" s="106"/>
      <c r="B79" s="106" t="s">
        <v>447</v>
      </c>
      <c r="C79" s="105">
        <v>0.49</v>
      </c>
      <c r="D79" s="103">
        <v>0.48</v>
      </c>
      <c r="E79" s="104">
        <v>0.48</v>
      </c>
      <c r="F79" s="104">
        <v>0.48</v>
      </c>
      <c r="G79" s="104">
        <v>0.47</v>
      </c>
      <c r="H79" s="105">
        <v>0.47</v>
      </c>
      <c r="I79" s="103">
        <v>0.47</v>
      </c>
      <c r="J79" s="104">
        <v>0.47</v>
      </c>
      <c r="K79" s="104">
        <v>0.46</v>
      </c>
      <c r="L79" s="104">
        <v>0.46</v>
      </c>
      <c r="M79" s="105">
        <v>0.46</v>
      </c>
      <c r="N79" s="103">
        <v>0.45</v>
      </c>
      <c r="O79" s="104">
        <v>0.44</v>
      </c>
      <c r="P79" s="104">
        <v>0.43</v>
      </c>
      <c r="Q79" s="104">
        <v>0.43</v>
      </c>
      <c r="R79" s="105">
        <v>0.43</v>
      </c>
    </row>
    <row r="80" spans="1:18" ht="18" customHeight="1" x14ac:dyDescent="0.15">
      <c r="A80" s="107" t="s">
        <v>447</v>
      </c>
      <c r="B80" s="107" t="s">
        <v>452</v>
      </c>
      <c r="C80" s="28">
        <v>0.5</v>
      </c>
      <c r="D80" s="98">
        <v>0.49</v>
      </c>
      <c r="E80" s="99">
        <v>0.49</v>
      </c>
      <c r="F80" s="99">
        <v>0.48</v>
      </c>
      <c r="G80" s="99">
        <v>0.48</v>
      </c>
      <c r="H80" s="100">
        <v>0.48</v>
      </c>
      <c r="I80" s="98">
        <v>0.48</v>
      </c>
      <c r="J80" s="99">
        <v>0.48</v>
      </c>
      <c r="K80" s="99">
        <v>0.48</v>
      </c>
      <c r="L80" s="99">
        <v>0.47</v>
      </c>
      <c r="M80" s="100">
        <v>0.47</v>
      </c>
      <c r="N80" s="98">
        <v>0.46</v>
      </c>
      <c r="O80" s="99">
        <v>0.46</v>
      </c>
      <c r="P80" s="99">
        <v>0.45</v>
      </c>
      <c r="Q80" s="99">
        <v>0.45</v>
      </c>
      <c r="R80" s="100">
        <v>0.45</v>
      </c>
    </row>
    <row r="81" spans="1:18" ht="18" customHeight="1" x14ac:dyDescent="0.15">
      <c r="A81" s="107"/>
      <c r="B81" s="107" t="s">
        <v>443</v>
      </c>
      <c r="C81" s="28">
        <v>0.48</v>
      </c>
      <c r="D81" s="101">
        <v>0.47</v>
      </c>
      <c r="E81" s="28">
        <v>0.46</v>
      </c>
      <c r="F81" s="28">
        <v>0.46</v>
      </c>
      <c r="G81" s="28">
        <v>0.46</v>
      </c>
      <c r="H81" s="102">
        <v>0.46</v>
      </c>
      <c r="I81" s="101">
        <v>0.46</v>
      </c>
      <c r="J81" s="28">
        <v>0.46</v>
      </c>
      <c r="K81" s="28">
        <v>0.45</v>
      </c>
      <c r="L81" s="28">
        <v>0.45</v>
      </c>
      <c r="M81" s="102">
        <v>0.45</v>
      </c>
      <c r="N81" s="101">
        <v>0.44</v>
      </c>
      <c r="O81" s="28">
        <v>0.43</v>
      </c>
      <c r="P81" s="28">
        <v>0.43</v>
      </c>
      <c r="Q81" s="28">
        <v>0.42</v>
      </c>
      <c r="R81" s="102">
        <v>0.42</v>
      </c>
    </row>
    <row r="82" spans="1:18" ht="18" customHeight="1" x14ac:dyDescent="0.15">
      <c r="A82" s="107"/>
      <c r="B82" s="107" t="s">
        <v>444</v>
      </c>
      <c r="C82" s="28">
        <v>0.47</v>
      </c>
      <c r="D82" s="101">
        <v>0.46</v>
      </c>
      <c r="E82" s="28">
        <v>0.46</v>
      </c>
      <c r="F82" s="28">
        <v>0.46</v>
      </c>
      <c r="G82" s="28">
        <v>0.46</v>
      </c>
      <c r="H82" s="102">
        <v>0.46</v>
      </c>
      <c r="I82" s="101">
        <v>0.46</v>
      </c>
      <c r="J82" s="28">
        <v>0.45</v>
      </c>
      <c r="K82" s="28">
        <v>0.45</v>
      </c>
      <c r="L82" s="28">
        <v>0.45</v>
      </c>
      <c r="M82" s="102">
        <v>0.45</v>
      </c>
      <c r="N82" s="101">
        <v>0.44</v>
      </c>
      <c r="O82" s="110">
        <v>0.43</v>
      </c>
      <c r="P82" s="28">
        <v>0.42</v>
      </c>
      <c r="Q82" s="28">
        <v>0.42</v>
      </c>
      <c r="R82" s="102">
        <v>0.41</v>
      </c>
    </row>
    <row r="83" spans="1:18" ht="18" customHeight="1" x14ac:dyDescent="0.15">
      <c r="A83" s="107"/>
      <c r="B83" s="107" t="s">
        <v>445</v>
      </c>
      <c r="C83" s="28">
        <v>0.47</v>
      </c>
      <c r="D83" s="101">
        <v>0.46</v>
      </c>
      <c r="E83" s="28">
        <v>0.46</v>
      </c>
      <c r="F83" s="28">
        <v>0.46</v>
      </c>
      <c r="G83" s="28">
        <v>0.46</v>
      </c>
      <c r="H83" s="102">
        <v>0.46</v>
      </c>
      <c r="I83" s="101">
        <v>0.46</v>
      </c>
      <c r="J83" s="28">
        <v>0.45</v>
      </c>
      <c r="K83" s="28">
        <v>0.45</v>
      </c>
      <c r="L83" s="28">
        <v>0.45</v>
      </c>
      <c r="M83" s="102">
        <v>0.44</v>
      </c>
      <c r="N83" s="101">
        <v>0.44</v>
      </c>
      <c r="O83" s="28">
        <v>0.43</v>
      </c>
      <c r="P83" s="28">
        <v>0.42</v>
      </c>
      <c r="Q83" s="28">
        <v>0.42</v>
      </c>
      <c r="R83" s="102">
        <v>0.41</v>
      </c>
    </row>
    <row r="84" spans="1:18" ht="18" customHeight="1" x14ac:dyDescent="0.15">
      <c r="A84" s="107"/>
      <c r="B84" s="107" t="s">
        <v>446</v>
      </c>
      <c r="C84" s="28">
        <v>0.47</v>
      </c>
      <c r="D84" s="101">
        <v>0.46</v>
      </c>
      <c r="E84" s="28">
        <v>0.46</v>
      </c>
      <c r="F84" s="28">
        <v>0.46</v>
      </c>
      <c r="G84" s="28">
        <v>0.46</v>
      </c>
      <c r="H84" s="102">
        <v>0.46</v>
      </c>
      <c r="I84" s="101">
        <v>0.45</v>
      </c>
      <c r="J84" s="28">
        <v>0.45</v>
      </c>
      <c r="K84" s="28">
        <v>0.45</v>
      </c>
      <c r="L84" s="28">
        <v>0.45</v>
      </c>
      <c r="M84" s="102">
        <v>0.44</v>
      </c>
      <c r="N84" s="101">
        <v>0.43</v>
      </c>
      <c r="O84" s="28">
        <v>0.42</v>
      </c>
      <c r="P84" s="28">
        <v>0.42</v>
      </c>
      <c r="Q84" s="28">
        <v>0.41</v>
      </c>
      <c r="R84" s="102">
        <v>0.41</v>
      </c>
    </row>
    <row r="85" spans="1:18" ht="18" customHeight="1" thickBot="1" x14ac:dyDescent="0.2">
      <c r="A85" s="107"/>
      <c r="B85" s="107" t="s">
        <v>447</v>
      </c>
      <c r="C85" s="105">
        <v>0.47</v>
      </c>
      <c r="D85" s="103">
        <v>0.46</v>
      </c>
      <c r="E85" s="104">
        <v>0.46</v>
      </c>
      <c r="F85" s="104">
        <v>0.46</v>
      </c>
      <c r="G85" s="104">
        <v>0.46</v>
      </c>
      <c r="H85" s="105">
        <v>0.45</v>
      </c>
      <c r="I85" s="103">
        <v>0.45</v>
      </c>
      <c r="J85" s="104">
        <v>0.45</v>
      </c>
      <c r="K85" s="104">
        <v>0.45</v>
      </c>
      <c r="L85" s="104">
        <v>0.44</v>
      </c>
      <c r="M85" s="105">
        <v>0.44</v>
      </c>
      <c r="N85" s="103">
        <v>0.43</v>
      </c>
      <c r="O85" s="104">
        <v>0.42</v>
      </c>
      <c r="P85" s="104">
        <v>0.42</v>
      </c>
      <c r="Q85" s="104">
        <v>0.41</v>
      </c>
      <c r="R85" s="105">
        <v>0.41</v>
      </c>
    </row>
    <row r="87" spans="1:18" ht="18" customHeight="1" x14ac:dyDescent="0.15">
      <c r="A87" s="8" t="s">
        <v>453</v>
      </c>
      <c r="B87" s="8" t="s">
        <v>480</v>
      </c>
      <c r="C87" s="97" t="s">
        <v>451</v>
      </c>
      <c r="D87" s="93" t="s">
        <v>448</v>
      </c>
      <c r="E87" s="93"/>
      <c r="F87" s="93"/>
      <c r="G87" s="93"/>
      <c r="H87" s="93"/>
      <c r="I87" s="94" t="s">
        <v>449</v>
      </c>
      <c r="J87" s="94"/>
      <c r="K87" s="94"/>
      <c r="L87" s="94"/>
      <c r="M87" s="94"/>
      <c r="N87" s="95" t="s">
        <v>450</v>
      </c>
      <c r="O87" s="95"/>
      <c r="P87" s="95"/>
      <c r="Q87" s="96"/>
      <c r="R87" s="96"/>
    </row>
    <row r="88" spans="1:18" ht="18" customHeight="1" thickBot="1" x14ac:dyDescent="0.2">
      <c r="A88" s="8" t="s">
        <v>465</v>
      </c>
      <c r="B88" s="8" t="s">
        <v>481</v>
      </c>
      <c r="C88" s="97" t="s">
        <v>452</v>
      </c>
      <c r="D88" s="93" t="s">
        <v>443</v>
      </c>
      <c r="E88" s="93" t="s">
        <v>444</v>
      </c>
      <c r="F88" s="93" t="s">
        <v>445</v>
      </c>
      <c r="G88" s="93" t="s">
        <v>446</v>
      </c>
      <c r="H88" s="93" t="s">
        <v>447</v>
      </c>
      <c r="I88" s="94" t="s">
        <v>443</v>
      </c>
      <c r="J88" s="94" t="s">
        <v>444</v>
      </c>
      <c r="K88" s="94" t="s">
        <v>445</v>
      </c>
      <c r="L88" s="94" t="s">
        <v>446</v>
      </c>
      <c r="M88" s="94" t="s">
        <v>447</v>
      </c>
      <c r="N88" s="95" t="s">
        <v>443</v>
      </c>
      <c r="O88" s="95" t="s">
        <v>444</v>
      </c>
      <c r="P88" s="95" t="s">
        <v>445</v>
      </c>
      <c r="Q88" s="95" t="s">
        <v>446</v>
      </c>
      <c r="R88" s="95" t="s">
        <v>447</v>
      </c>
    </row>
    <row r="89" spans="1:18" ht="18" customHeight="1" x14ac:dyDescent="0.15">
      <c r="A89" s="97" t="s">
        <v>452</v>
      </c>
      <c r="B89" s="97" t="s">
        <v>452</v>
      </c>
      <c r="C89" s="28">
        <v>1.04</v>
      </c>
      <c r="D89" s="98">
        <v>0.77</v>
      </c>
      <c r="E89" s="99">
        <v>0.74</v>
      </c>
      <c r="F89" s="99">
        <v>0.71</v>
      </c>
      <c r="G89" s="99">
        <v>0.7</v>
      </c>
      <c r="H89" s="100">
        <v>0.68</v>
      </c>
      <c r="I89" s="98">
        <v>0.71</v>
      </c>
      <c r="J89" s="99">
        <v>0.66</v>
      </c>
      <c r="K89" s="99">
        <v>0.63</v>
      </c>
      <c r="L89" s="99">
        <v>0.61</v>
      </c>
      <c r="M89" s="100">
        <v>0.6</v>
      </c>
      <c r="N89" s="98">
        <v>0.61</v>
      </c>
      <c r="O89" s="99">
        <v>0.53</v>
      </c>
      <c r="P89" s="99">
        <v>0.49</v>
      </c>
      <c r="Q89" s="99">
        <v>0.46</v>
      </c>
      <c r="R89" s="100">
        <v>0.44</v>
      </c>
    </row>
    <row r="90" spans="1:18" ht="18" customHeight="1" x14ac:dyDescent="0.15">
      <c r="A90" s="97"/>
      <c r="B90" s="97" t="s">
        <v>443</v>
      </c>
      <c r="C90" s="28">
        <v>1.04</v>
      </c>
      <c r="D90" s="101">
        <v>0.78</v>
      </c>
      <c r="E90" s="28">
        <v>0.75</v>
      </c>
      <c r="F90" s="28">
        <v>0.74</v>
      </c>
      <c r="G90" s="28">
        <v>0.73</v>
      </c>
      <c r="H90" s="102">
        <v>0.72</v>
      </c>
      <c r="I90" s="101">
        <v>0.72</v>
      </c>
      <c r="J90" s="28">
        <v>0.67</v>
      </c>
      <c r="K90" s="28">
        <v>0.65</v>
      </c>
      <c r="L90" s="28">
        <v>0.64</v>
      </c>
      <c r="M90" s="114">
        <v>0.63</v>
      </c>
      <c r="N90" s="101">
        <v>0.62</v>
      </c>
      <c r="O90" s="28">
        <v>0.54</v>
      </c>
      <c r="P90" s="28">
        <v>0.51</v>
      </c>
      <c r="Q90" s="28">
        <v>0.48</v>
      </c>
      <c r="R90" s="102">
        <v>0.47</v>
      </c>
    </row>
    <row r="91" spans="1:18" ht="18" customHeight="1" x14ac:dyDescent="0.15">
      <c r="A91" s="97"/>
      <c r="B91" s="97" t="s">
        <v>444</v>
      </c>
      <c r="C91" s="28">
        <v>1.02</v>
      </c>
      <c r="D91" s="101">
        <v>0.78</v>
      </c>
      <c r="E91" s="28">
        <v>0.76</v>
      </c>
      <c r="F91" s="28">
        <v>0.74</v>
      </c>
      <c r="G91" s="28">
        <v>0.74</v>
      </c>
      <c r="H91" s="102">
        <v>0.73</v>
      </c>
      <c r="I91" s="101">
        <v>0.72</v>
      </c>
      <c r="J91" s="28">
        <v>0.68</v>
      </c>
      <c r="K91" s="28">
        <v>0.66</v>
      </c>
      <c r="L91" s="28">
        <v>0.65</v>
      </c>
      <c r="M91" s="102">
        <v>0.64</v>
      </c>
      <c r="N91" s="101">
        <v>0.62</v>
      </c>
      <c r="O91" s="28">
        <v>0.54</v>
      </c>
      <c r="P91" s="28">
        <v>0.51</v>
      </c>
      <c r="Q91" s="28">
        <v>0.49</v>
      </c>
      <c r="R91" s="102">
        <v>0.48</v>
      </c>
    </row>
    <row r="92" spans="1:18" ht="18" customHeight="1" x14ac:dyDescent="0.15">
      <c r="A92" s="97"/>
      <c r="B92" s="97" t="s">
        <v>445</v>
      </c>
      <c r="C92" s="28">
        <v>1</v>
      </c>
      <c r="D92" s="101">
        <v>0.78</v>
      </c>
      <c r="E92" s="28">
        <v>0.76</v>
      </c>
      <c r="F92" s="28">
        <v>0.75</v>
      </c>
      <c r="G92" s="28">
        <v>0.74</v>
      </c>
      <c r="H92" s="102">
        <v>0.73</v>
      </c>
      <c r="I92" s="101">
        <v>0.72</v>
      </c>
      <c r="J92" s="28">
        <v>0.68</v>
      </c>
      <c r="K92" s="28">
        <v>0.66</v>
      </c>
      <c r="L92" s="28">
        <v>0.65</v>
      </c>
      <c r="M92" s="102">
        <v>0.65</v>
      </c>
      <c r="N92" s="101">
        <v>0.62</v>
      </c>
      <c r="O92" s="28">
        <v>0.54</v>
      </c>
      <c r="P92" s="28">
        <v>0.51</v>
      </c>
      <c r="Q92" s="28">
        <v>0.5</v>
      </c>
      <c r="R92" s="102">
        <v>0.48</v>
      </c>
    </row>
    <row r="93" spans="1:18" ht="18" customHeight="1" x14ac:dyDescent="0.15">
      <c r="A93" s="97"/>
      <c r="B93" s="97" t="s">
        <v>446</v>
      </c>
      <c r="C93" s="28">
        <v>0.97</v>
      </c>
      <c r="D93" s="101">
        <v>0.78</v>
      </c>
      <c r="E93" s="28">
        <v>0.76</v>
      </c>
      <c r="F93" s="28">
        <v>0.75</v>
      </c>
      <c r="G93" s="28">
        <v>0.74</v>
      </c>
      <c r="H93" s="102">
        <v>0.74</v>
      </c>
      <c r="I93" s="101">
        <v>0.72</v>
      </c>
      <c r="J93" s="28">
        <v>0.68</v>
      </c>
      <c r="K93" s="28">
        <v>0.66</v>
      </c>
      <c r="L93" s="28">
        <v>0.65</v>
      </c>
      <c r="M93" s="102">
        <v>0.65</v>
      </c>
      <c r="N93" s="101">
        <v>0.61</v>
      </c>
      <c r="O93" s="28">
        <v>0.54</v>
      </c>
      <c r="P93" s="28">
        <v>0.51</v>
      </c>
      <c r="Q93" s="28">
        <v>0.5</v>
      </c>
      <c r="R93" s="102">
        <v>0.48</v>
      </c>
    </row>
    <row r="94" spans="1:18" ht="18" customHeight="1" thickBot="1" x14ac:dyDescent="0.2">
      <c r="A94" s="97"/>
      <c r="B94" s="97" t="s">
        <v>447</v>
      </c>
      <c r="C94" s="104">
        <v>0.95</v>
      </c>
      <c r="D94" s="103">
        <v>0.78</v>
      </c>
      <c r="E94" s="104">
        <v>0.76</v>
      </c>
      <c r="F94" s="104">
        <v>0.75</v>
      </c>
      <c r="G94" s="104">
        <v>0.74</v>
      </c>
      <c r="H94" s="105">
        <v>0.74</v>
      </c>
      <c r="I94" s="103">
        <v>0.71</v>
      </c>
      <c r="J94" s="104">
        <v>0.68</v>
      </c>
      <c r="K94" s="104">
        <v>0.66</v>
      </c>
      <c r="L94" s="104">
        <v>0.65</v>
      </c>
      <c r="M94" s="105">
        <v>0.65</v>
      </c>
      <c r="N94" s="103">
        <v>0.61</v>
      </c>
      <c r="O94" s="104">
        <v>0.54</v>
      </c>
      <c r="P94" s="104">
        <v>0.51</v>
      </c>
      <c r="Q94" s="104">
        <v>0.5</v>
      </c>
      <c r="R94" s="105">
        <v>0.49</v>
      </c>
    </row>
    <row r="95" spans="1:18" ht="18" customHeight="1" x14ac:dyDescent="0.15">
      <c r="A95" s="93" t="s">
        <v>443</v>
      </c>
      <c r="B95" s="93" t="s">
        <v>452</v>
      </c>
      <c r="C95" s="28">
        <v>0.61</v>
      </c>
      <c r="D95" s="98">
        <v>0.55000000000000004</v>
      </c>
      <c r="E95" s="99">
        <v>0.54</v>
      </c>
      <c r="F95" s="99">
        <v>0.53</v>
      </c>
      <c r="G95" s="99">
        <v>0.52</v>
      </c>
      <c r="H95" s="100">
        <v>0.51</v>
      </c>
      <c r="I95" s="98">
        <v>0.53</v>
      </c>
      <c r="J95" s="99">
        <v>0.52</v>
      </c>
      <c r="K95" s="99">
        <v>0.5</v>
      </c>
      <c r="L95" s="99">
        <v>0.49</v>
      </c>
      <c r="M95" s="100">
        <v>0.48</v>
      </c>
      <c r="N95" s="98">
        <v>0.49</v>
      </c>
      <c r="O95" s="99">
        <v>0.46</v>
      </c>
      <c r="P95" s="99">
        <v>0.44</v>
      </c>
      <c r="Q95" s="99">
        <v>0.43</v>
      </c>
      <c r="R95" s="100">
        <v>0.41</v>
      </c>
    </row>
    <row r="96" spans="1:18" ht="18" customHeight="1" x14ac:dyDescent="0.15">
      <c r="A96" s="93"/>
      <c r="B96" s="93" t="s">
        <v>443</v>
      </c>
      <c r="C96" s="28">
        <v>0.62</v>
      </c>
      <c r="D96" s="101">
        <v>0.53</v>
      </c>
      <c r="E96" s="28">
        <v>0.52</v>
      </c>
      <c r="F96" s="28">
        <v>0.51</v>
      </c>
      <c r="G96" s="28">
        <v>0.51</v>
      </c>
      <c r="H96" s="102">
        <v>0.5</v>
      </c>
      <c r="I96" s="101">
        <v>0.5</v>
      </c>
      <c r="J96" s="28">
        <v>0.48</v>
      </c>
      <c r="K96" s="28">
        <v>0.47</v>
      </c>
      <c r="L96" s="28">
        <v>0.46</v>
      </c>
      <c r="M96" s="102">
        <v>0.46</v>
      </c>
      <c r="N96" s="101">
        <v>0.44</v>
      </c>
      <c r="O96" s="28">
        <v>0.4</v>
      </c>
      <c r="P96" s="28">
        <v>0.38</v>
      </c>
      <c r="Q96" s="28">
        <v>0.36</v>
      </c>
      <c r="R96" s="102">
        <v>0.35</v>
      </c>
    </row>
    <row r="97" spans="1:18" ht="18" customHeight="1" x14ac:dyDescent="0.15">
      <c r="A97" s="93"/>
      <c r="B97" s="93" t="s">
        <v>444</v>
      </c>
      <c r="C97" s="28">
        <v>0.63</v>
      </c>
      <c r="D97" s="101">
        <v>0.54</v>
      </c>
      <c r="E97" s="28">
        <v>0.53</v>
      </c>
      <c r="F97" s="28">
        <v>0.53</v>
      </c>
      <c r="G97" s="28">
        <v>0.52</v>
      </c>
      <c r="H97" s="102">
        <v>0.52</v>
      </c>
      <c r="I97" s="101">
        <v>0.51</v>
      </c>
      <c r="J97" s="28">
        <v>0.49</v>
      </c>
      <c r="K97" s="28">
        <v>0.48</v>
      </c>
      <c r="L97" s="28">
        <v>0.47</v>
      </c>
      <c r="M97" s="102">
        <v>0.47</v>
      </c>
      <c r="N97" s="101">
        <v>0.44</v>
      </c>
      <c r="O97" s="28">
        <v>0.4</v>
      </c>
      <c r="P97" s="28">
        <v>0.38</v>
      </c>
      <c r="Q97" s="28">
        <v>0.37</v>
      </c>
      <c r="R97" s="102">
        <v>0.36</v>
      </c>
    </row>
    <row r="98" spans="1:18" ht="18" customHeight="1" x14ac:dyDescent="0.15">
      <c r="A98" s="93"/>
      <c r="B98" s="93" t="s">
        <v>445</v>
      </c>
      <c r="C98" s="28">
        <v>0.64</v>
      </c>
      <c r="D98" s="101">
        <v>0.55000000000000004</v>
      </c>
      <c r="E98" s="28">
        <v>0.54</v>
      </c>
      <c r="F98" s="28">
        <v>0.53</v>
      </c>
      <c r="G98" s="28">
        <v>0.53</v>
      </c>
      <c r="H98" s="102">
        <v>0.53</v>
      </c>
      <c r="I98" s="101">
        <v>0.52</v>
      </c>
      <c r="J98" s="28">
        <v>0.5</v>
      </c>
      <c r="K98" s="28">
        <v>0.49</v>
      </c>
      <c r="L98" s="28">
        <v>0.48</v>
      </c>
      <c r="M98" s="102">
        <v>0.48</v>
      </c>
      <c r="N98" s="101">
        <v>0.45</v>
      </c>
      <c r="O98" s="28">
        <v>0.41</v>
      </c>
      <c r="P98" s="28">
        <v>0.39</v>
      </c>
      <c r="Q98" s="28">
        <v>0.38</v>
      </c>
      <c r="R98" s="102">
        <v>0.37</v>
      </c>
    </row>
    <row r="99" spans="1:18" ht="18" customHeight="1" x14ac:dyDescent="0.15">
      <c r="A99" s="93"/>
      <c r="B99" s="93" t="s">
        <v>446</v>
      </c>
      <c r="C99" s="28">
        <v>0.64</v>
      </c>
      <c r="D99" s="101">
        <v>0.56000000000000005</v>
      </c>
      <c r="E99" s="28">
        <v>0.55000000000000004</v>
      </c>
      <c r="F99" s="28">
        <v>0.54</v>
      </c>
      <c r="G99" s="28">
        <v>0.54</v>
      </c>
      <c r="H99" s="102">
        <v>0.54</v>
      </c>
      <c r="I99" s="101">
        <v>0.52</v>
      </c>
      <c r="J99" s="28">
        <v>0.5</v>
      </c>
      <c r="K99" s="28">
        <v>0.49</v>
      </c>
      <c r="L99" s="28">
        <v>0.49</v>
      </c>
      <c r="M99" s="102">
        <v>0.48</v>
      </c>
      <c r="N99" s="101">
        <v>0.45</v>
      </c>
      <c r="O99" s="28">
        <v>0.41</v>
      </c>
      <c r="P99" s="28">
        <v>0.39</v>
      </c>
      <c r="Q99" s="28">
        <v>0.38</v>
      </c>
      <c r="R99" s="102">
        <v>0.38</v>
      </c>
    </row>
    <row r="100" spans="1:18" ht="18" customHeight="1" thickBot="1" x14ac:dyDescent="0.2">
      <c r="A100" s="93"/>
      <c r="B100" s="93" t="s">
        <v>447</v>
      </c>
      <c r="C100" s="104">
        <v>0.64</v>
      </c>
      <c r="D100" s="103">
        <v>0.56000000000000005</v>
      </c>
      <c r="E100" s="104">
        <v>0.56000000000000005</v>
      </c>
      <c r="F100" s="104">
        <v>0.56000000000000005</v>
      </c>
      <c r="G100" s="104">
        <v>0.56000000000000005</v>
      </c>
      <c r="H100" s="105">
        <v>0.55000000000000004</v>
      </c>
      <c r="I100" s="103">
        <v>0.52</v>
      </c>
      <c r="J100" s="104">
        <v>0.51</v>
      </c>
      <c r="K100" s="104">
        <v>0.51</v>
      </c>
      <c r="L100" s="104">
        <v>0.5</v>
      </c>
      <c r="M100" s="105">
        <v>0.5</v>
      </c>
      <c r="N100" s="103">
        <v>0.45</v>
      </c>
      <c r="O100" s="104">
        <v>0.42</v>
      </c>
      <c r="P100" s="104">
        <v>0.4</v>
      </c>
      <c r="Q100" s="104">
        <v>0.39</v>
      </c>
      <c r="R100" s="105">
        <v>0.39</v>
      </c>
    </row>
    <row r="101" spans="1:18" ht="18" customHeight="1" x14ac:dyDescent="0.15">
      <c r="A101" s="94" t="s">
        <v>444</v>
      </c>
      <c r="B101" s="94" t="s">
        <v>452</v>
      </c>
      <c r="C101" s="28">
        <v>0.55000000000000004</v>
      </c>
      <c r="D101" s="98">
        <v>0.52</v>
      </c>
      <c r="E101" s="99">
        <v>0.51</v>
      </c>
      <c r="F101" s="99">
        <v>0.5</v>
      </c>
      <c r="G101" s="99">
        <v>0.5</v>
      </c>
      <c r="H101" s="100">
        <v>0.49</v>
      </c>
      <c r="I101" s="98">
        <v>0.5</v>
      </c>
      <c r="J101" s="99">
        <v>0.49</v>
      </c>
      <c r="K101" s="99">
        <v>0.48</v>
      </c>
      <c r="L101" s="99">
        <v>0.47</v>
      </c>
      <c r="M101" s="100">
        <v>0.47</v>
      </c>
      <c r="N101" s="98">
        <v>0.47</v>
      </c>
      <c r="O101" s="99">
        <v>0.44</v>
      </c>
      <c r="P101" s="99">
        <v>0.43</v>
      </c>
      <c r="Q101" s="99">
        <v>0.42</v>
      </c>
      <c r="R101" s="100">
        <v>0.41</v>
      </c>
    </row>
    <row r="102" spans="1:18" ht="18" customHeight="1" x14ac:dyDescent="0.15">
      <c r="A102" s="94"/>
      <c r="B102" s="94" t="s">
        <v>443</v>
      </c>
      <c r="C102" s="28">
        <v>0.55000000000000004</v>
      </c>
      <c r="D102" s="101">
        <v>0.48</v>
      </c>
      <c r="E102" s="28">
        <v>0.47</v>
      </c>
      <c r="F102" s="28">
        <v>0.46</v>
      </c>
      <c r="G102" s="28">
        <v>0.46</v>
      </c>
      <c r="H102" s="102">
        <v>0.46</v>
      </c>
      <c r="I102" s="101">
        <v>0.45</v>
      </c>
      <c r="J102" s="28">
        <v>0.43</v>
      </c>
      <c r="K102" s="28">
        <v>0.43</v>
      </c>
      <c r="L102" s="28">
        <v>0.42</v>
      </c>
      <c r="M102" s="102">
        <v>0.42</v>
      </c>
      <c r="N102" s="101">
        <v>0.4</v>
      </c>
      <c r="O102" s="28">
        <v>0.37</v>
      </c>
      <c r="P102" s="28">
        <v>0.35</v>
      </c>
      <c r="Q102" s="28">
        <v>0.34</v>
      </c>
      <c r="R102" s="102">
        <v>0.34</v>
      </c>
    </row>
    <row r="103" spans="1:18" ht="18" customHeight="1" x14ac:dyDescent="0.15">
      <c r="A103" s="94"/>
      <c r="B103" s="94" t="s">
        <v>444</v>
      </c>
      <c r="C103" s="28">
        <v>0.55000000000000004</v>
      </c>
      <c r="D103" s="101">
        <v>0.49</v>
      </c>
      <c r="E103" s="28">
        <v>0.48</v>
      </c>
      <c r="F103" s="28">
        <v>0.47</v>
      </c>
      <c r="G103" s="28">
        <v>0.47</v>
      </c>
      <c r="H103" s="102">
        <v>0.47</v>
      </c>
      <c r="I103" s="101">
        <v>0.46</v>
      </c>
      <c r="J103" s="28">
        <v>0.44</v>
      </c>
      <c r="K103" s="28">
        <v>0.43</v>
      </c>
      <c r="L103" s="28">
        <v>0.43</v>
      </c>
      <c r="M103" s="102">
        <v>0.43</v>
      </c>
      <c r="N103" s="101">
        <v>0.4</v>
      </c>
      <c r="O103" s="28">
        <v>0.37</v>
      </c>
      <c r="P103" s="28">
        <v>0.35</v>
      </c>
      <c r="Q103" s="28">
        <v>0.34</v>
      </c>
      <c r="R103" s="102">
        <v>0.34</v>
      </c>
    </row>
    <row r="104" spans="1:18" ht="18" customHeight="1" x14ac:dyDescent="0.15">
      <c r="A104" s="94"/>
      <c r="B104" s="94" t="s">
        <v>445</v>
      </c>
      <c r="C104" s="28">
        <v>0.56000000000000005</v>
      </c>
      <c r="D104" s="101">
        <v>0.49</v>
      </c>
      <c r="E104" s="28">
        <v>0.48</v>
      </c>
      <c r="F104" s="28">
        <v>0.48</v>
      </c>
      <c r="G104" s="28">
        <v>0.48</v>
      </c>
      <c r="H104" s="102">
        <v>0.47</v>
      </c>
      <c r="I104" s="101">
        <v>0.46</v>
      </c>
      <c r="J104" s="28">
        <v>0.45</v>
      </c>
      <c r="K104" s="28">
        <v>0.44</v>
      </c>
      <c r="L104" s="28">
        <v>0.44</v>
      </c>
      <c r="M104" s="102">
        <v>0.43</v>
      </c>
      <c r="N104" s="101">
        <v>0.41</v>
      </c>
      <c r="O104" s="28">
        <v>0.37</v>
      </c>
      <c r="P104" s="28">
        <v>0.36</v>
      </c>
      <c r="Q104" s="28">
        <v>0.35</v>
      </c>
      <c r="R104" s="102">
        <v>0.34</v>
      </c>
    </row>
    <row r="105" spans="1:18" ht="18" customHeight="1" x14ac:dyDescent="0.15">
      <c r="A105" s="94"/>
      <c r="B105" s="94" t="s">
        <v>446</v>
      </c>
      <c r="C105" s="28">
        <v>0.56000000000000005</v>
      </c>
      <c r="D105" s="101">
        <v>0.5</v>
      </c>
      <c r="E105" s="28">
        <v>0.49</v>
      </c>
      <c r="F105" s="28">
        <v>0.48</v>
      </c>
      <c r="G105" s="28">
        <v>0.48</v>
      </c>
      <c r="H105" s="102">
        <v>0.48</v>
      </c>
      <c r="I105" s="101">
        <v>0.47</v>
      </c>
      <c r="J105" s="28">
        <v>0.45</v>
      </c>
      <c r="K105" s="28">
        <v>0.45</v>
      </c>
      <c r="L105" s="28">
        <v>0.44</v>
      </c>
      <c r="M105" s="102">
        <v>0.44</v>
      </c>
      <c r="N105" s="101">
        <v>0.41</v>
      </c>
      <c r="O105" s="110">
        <v>0.38</v>
      </c>
      <c r="P105" s="28">
        <v>0.36</v>
      </c>
      <c r="Q105" s="28">
        <v>0.35</v>
      </c>
      <c r="R105" s="102">
        <v>0.34</v>
      </c>
    </row>
    <row r="106" spans="1:18" ht="18" customHeight="1" thickBot="1" x14ac:dyDescent="0.2">
      <c r="A106" s="94"/>
      <c r="B106" s="94" t="s">
        <v>447</v>
      </c>
      <c r="C106" s="104">
        <v>0.56000000000000005</v>
      </c>
      <c r="D106" s="103">
        <v>0.51</v>
      </c>
      <c r="E106" s="104">
        <v>0.5</v>
      </c>
      <c r="F106" s="104">
        <v>0.5</v>
      </c>
      <c r="G106" s="104">
        <v>0.5</v>
      </c>
      <c r="H106" s="105">
        <v>0.5</v>
      </c>
      <c r="I106" s="103">
        <v>0.47</v>
      </c>
      <c r="J106" s="104">
        <v>0.46</v>
      </c>
      <c r="K106" s="104">
        <v>0.46</v>
      </c>
      <c r="L106" s="104">
        <v>0.46</v>
      </c>
      <c r="M106" s="105">
        <v>0.45</v>
      </c>
      <c r="N106" s="103">
        <v>0.41</v>
      </c>
      <c r="O106" s="104">
        <v>0.38</v>
      </c>
      <c r="P106" s="104">
        <v>0.37</v>
      </c>
      <c r="Q106" s="104">
        <v>0.36</v>
      </c>
      <c r="R106" s="105">
        <v>0.36</v>
      </c>
    </row>
    <row r="107" spans="1:18" ht="18" customHeight="1" x14ac:dyDescent="0.15">
      <c r="A107" s="95" t="s">
        <v>445</v>
      </c>
      <c r="B107" s="95" t="s">
        <v>452</v>
      </c>
      <c r="C107" s="28">
        <v>0.53</v>
      </c>
      <c r="D107" s="98">
        <v>0.49</v>
      </c>
      <c r="E107" s="99">
        <v>0.49</v>
      </c>
      <c r="F107" s="99">
        <v>0.48</v>
      </c>
      <c r="G107" s="99">
        <v>0.48</v>
      </c>
      <c r="H107" s="100">
        <v>0.47</v>
      </c>
      <c r="I107" s="98">
        <v>0.48</v>
      </c>
      <c r="J107" s="99">
        <v>0.47</v>
      </c>
      <c r="K107" s="99">
        <v>0.46</v>
      </c>
      <c r="L107" s="99">
        <v>0.46</v>
      </c>
      <c r="M107" s="100">
        <v>0.45</v>
      </c>
      <c r="N107" s="98">
        <v>0.45</v>
      </c>
      <c r="O107" s="99">
        <v>0.43</v>
      </c>
      <c r="P107" s="99">
        <v>0.42</v>
      </c>
      <c r="Q107" s="99">
        <v>0.41</v>
      </c>
      <c r="R107" s="100">
        <v>0.4</v>
      </c>
    </row>
    <row r="108" spans="1:18" ht="18" customHeight="1" x14ac:dyDescent="0.15">
      <c r="A108" s="95"/>
      <c r="B108" s="95" t="s">
        <v>443</v>
      </c>
      <c r="C108" s="28">
        <v>0.51</v>
      </c>
      <c r="D108" s="101">
        <v>0.45</v>
      </c>
      <c r="E108" s="28">
        <v>0.45</v>
      </c>
      <c r="F108" s="28">
        <v>0.44</v>
      </c>
      <c r="G108" s="28">
        <v>0.44</v>
      </c>
      <c r="H108" s="102">
        <v>0.44</v>
      </c>
      <c r="I108" s="101">
        <v>0.43</v>
      </c>
      <c r="J108" s="28">
        <v>0.42</v>
      </c>
      <c r="K108" s="28">
        <v>0.41</v>
      </c>
      <c r="L108" s="28">
        <v>0.41</v>
      </c>
      <c r="M108" s="102">
        <v>0.41</v>
      </c>
      <c r="N108" s="101">
        <v>0.39</v>
      </c>
      <c r="O108" s="28">
        <v>0.36</v>
      </c>
      <c r="P108" s="28">
        <v>0.35</v>
      </c>
      <c r="Q108" s="28">
        <v>0.34</v>
      </c>
      <c r="R108" s="102">
        <v>0.33</v>
      </c>
    </row>
    <row r="109" spans="1:18" ht="18" customHeight="1" x14ac:dyDescent="0.15">
      <c r="A109" s="95"/>
      <c r="B109" s="95" t="s">
        <v>444</v>
      </c>
      <c r="C109" s="28">
        <v>0.51</v>
      </c>
      <c r="D109" s="101">
        <v>0.46</v>
      </c>
      <c r="E109" s="28">
        <v>0.45</v>
      </c>
      <c r="F109" s="28">
        <v>0.44</v>
      </c>
      <c r="G109" s="28">
        <v>0.44</v>
      </c>
      <c r="H109" s="102">
        <v>0.44</v>
      </c>
      <c r="I109" s="101">
        <v>0.43</v>
      </c>
      <c r="J109" s="28">
        <v>0.42</v>
      </c>
      <c r="K109" s="28">
        <v>0.41</v>
      </c>
      <c r="L109" s="28">
        <v>0.41</v>
      </c>
      <c r="M109" s="102">
        <v>0.41</v>
      </c>
      <c r="N109" s="101">
        <v>0.38</v>
      </c>
      <c r="O109" s="28">
        <v>0.35</v>
      </c>
      <c r="P109" s="28">
        <v>0.34</v>
      </c>
      <c r="Q109" s="28">
        <v>0.33</v>
      </c>
      <c r="R109" s="102">
        <v>0.33</v>
      </c>
    </row>
    <row r="110" spans="1:18" ht="18" customHeight="1" x14ac:dyDescent="0.15">
      <c r="A110" s="95"/>
      <c r="B110" s="95" t="s">
        <v>445</v>
      </c>
      <c r="C110" s="28">
        <v>0.52</v>
      </c>
      <c r="D110" s="101">
        <v>0.46</v>
      </c>
      <c r="E110" s="28">
        <v>0.45</v>
      </c>
      <c r="F110" s="28">
        <v>0.45</v>
      </c>
      <c r="G110" s="28">
        <v>0.45</v>
      </c>
      <c r="H110" s="102">
        <v>0.45</v>
      </c>
      <c r="I110" s="101">
        <v>0.44</v>
      </c>
      <c r="J110" s="28">
        <v>0.42</v>
      </c>
      <c r="K110" s="28">
        <v>0.42</v>
      </c>
      <c r="L110" s="28">
        <v>0.41</v>
      </c>
      <c r="M110" s="102">
        <v>0.41</v>
      </c>
      <c r="N110" s="101">
        <v>0.38</v>
      </c>
      <c r="O110" s="28">
        <v>0.35</v>
      </c>
      <c r="P110" s="28">
        <v>0.34</v>
      </c>
      <c r="Q110" s="28">
        <v>0.33</v>
      </c>
      <c r="R110" s="102">
        <v>0.33</v>
      </c>
    </row>
    <row r="111" spans="1:18" ht="18" customHeight="1" x14ac:dyDescent="0.15">
      <c r="A111" s="95"/>
      <c r="B111" s="95" t="s">
        <v>446</v>
      </c>
      <c r="C111" s="28">
        <v>0.52</v>
      </c>
      <c r="D111" s="101">
        <v>0.46</v>
      </c>
      <c r="E111" s="28">
        <v>0.46</v>
      </c>
      <c r="F111" s="28">
        <v>0.45</v>
      </c>
      <c r="G111" s="28">
        <v>0.45</v>
      </c>
      <c r="H111" s="102">
        <v>0.45</v>
      </c>
      <c r="I111" s="101">
        <v>0.44</v>
      </c>
      <c r="J111" s="28">
        <v>0.43</v>
      </c>
      <c r="K111" s="28">
        <v>0.42</v>
      </c>
      <c r="L111" s="28">
        <v>0.42</v>
      </c>
      <c r="M111" s="102">
        <v>0.41</v>
      </c>
      <c r="N111" s="101">
        <v>0.39</v>
      </c>
      <c r="O111" s="28">
        <v>0.36</v>
      </c>
      <c r="P111" s="28">
        <v>0.34</v>
      </c>
      <c r="Q111" s="28">
        <v>0.33</v>
      </c>
      <c r="R111" s="102">
        <v>0.33</v>
      </c>
    </row>
    <row r="112" spans="1:18" ht="18" customHeight="1" thickBot="1" x14ac:dyDescent="0.2">
      <c r="A112" s="95"/>
      <c r="B112" s="95" t="s">
        <v>447</v>
      </c>
      <c r="C112" s="104">
        <v>0.52</v>
      </c>
      <c r="D112" s="103">
        <v>0.47</v>
      </c>
      <c r="E112" s="104">
        <v>0.47</v>
      </c>
      <c r="F112" s="104">
        <v>0.47</v>
      </c>
      <c r="G112" s="104">
        <v>0.47</v>
      </c>
      <c r="H112" s="105">
        <v>0.47</v>
      </c>
      <c r="I112" s="103">
        <v>0.44</v>
      </c>
      <c r="J112" s="104">
        <v>0.44</v>
      </c>
      <c r="K112" s="104">
        <v>0.43</v>
      </c>
      <c r="L112" s="104">
        <v>0.43</v>
      </c>
      <c r="M112" s="105">
        <v>0.43</v>
      </c>
      <c r="N112" s="103">
        <v>0.39</v>
      </c>
      <c r="O112" s="104">
        <v>0.36</v>
      </c>
      <c r="P112" s="104">
        <v>0.35</v>
      </c>
      <c r="Q112" s="104">
        <v>0.34</v>
      </c>
      <c r="R112" s="105">
        <v>0.34</v>
      </c>
    </row>
    <row r="113" spans="1:18" ht="18" customHeight="1" x14ac:dyDescent="0.15">
      <c r="A113" s="106" t="s">
        <v>446</v>
      </c>
      <c r="B113" s="106" t="s">
        <v>452</v>
      </c>
      <c r="C113" s="28">
        <v>0.51</v>
      </c>
      <c r="D113" s="98">
        <v>0.48</v>
      </c>
      <c r="E113" s="99">
        <v>0.47</v>
      </c>
      <c r="F113" s="99">
        <v>0.47</v>
      </c>
      <c r="G113" s="99">
        <v>0.46</v>
      </c>
      <c r="H113" s="100">
        <v>0.46</v>
      </c>
      <c r="I113" s="98">
        <v>0.47</v>
      </c>
      <c r="J113" s="99">
        <v>0.46</v>
      </c>
      <c r="K113" s="99">
        <v>0.45</v>
      </c>
      <c r="L113" s="99">
        <v>0.45</v>
      </c>
      <c r="M113" s="100">
        <v>0.44</v>
      </c>
      <c r="N113" s="98">
        <v>0.44</v>
      </c>
      <c r="O113" s="99">
        <v>0.42</v>
      </c>
      <c r="P113" s="99">
        <v>0.4</v>
      </c>
      <c r="Q113" s="99">
        <v>0.4</v>
      </c>
      <c r="R113" s="100">
        <v>0.39</v>
      </c>
    </row>
    <row r="114" spans="1:18" ht="18" customHeight="1" x14ac:dyDescent="0.15">
      <c r="A114" s="106"/>
      <c r="B114" s="106" t="s">
        <v>443</v>
      </c>
      <c r="C114" s="28">
        <v>0.49</v>
      </c>
      <c r="D114" s="101">
        <v>0.44</v>
      </c>
      <c r="E114" s="28">
        <v>0.43</v>
      </c>
      <c r="F114" s="28">
        <v>0.43</v>
      </c>
      <c r="G114" s="28">
        <v>0.43</v>
      </c>
      <c r="H114" s="102">
        <v>0.43</v>
      </c>
      <c r="I114" s="101">
        <v>0.42</v>
      </c>
      <c r="J114" s="28">
        <v>0.41</v>
      </c>
      <c r="K114" s="28">
        <v>0.4</v>
      </c>
      <c r="L114" s="28">
        <v>0.4</v>
      </c>
      <c r="M114" s="102">
        <v>0.4</v>
      </c>
      <c r="N114" s="101">
        <v>0.38</v>
      </c>
      <c r="O114" s="28">
        <v>0.36</v>
      </c>
      <c r="P114" s="28">
        <v>0.35</v>
      </c>
      <c r="Q114" s="28">
        <v>0.34</v>
      </c>
      <c r="R114" s="102">
        <v>0.33</v>
      </c>
    </row>
    <row r="115" spans="1:18" ht="18" customHeight="1" x14ac:dyDescent="0.15">
      <c r="A115" s="106"/>
      <c r="B115" s="106" t="s">
        <v>444</v>
      </c>
      <c r="C115" s="28">
        <v>0.49</v>
      </c>
      <c r="D115" s="101">
        <v>0.44</v>
      </c>
      <c r="E115" s="28">
        <v>0.43</v>
      </c>
      <c r="F115" s="28">
        <v>0.43</v>
      </c>
      <c r="G115" s="28">
        <v>0.43</v>
      </c>
      <c r="H115" s="102">
        <v>0.42</v>
      </c>
      <c r="I115" s="101">
        <v>0.42</v>
      </c>
      <c r="J115" s="28">
        <v>0.4</v>
      </c>
      <c r="K115" s="28">
        <v>0.4</v>
      </c>
      <c r="L115" s="28">
        <v>0.39</v>
      </c>
      <c r="M115" s="102">
        <v>0.39</v>
      </c>
      <c r="N115" s="101">
        <v>0.37</v>
      </c>
      <c r="O115" s="28">
        <v>0.35</v>
      </c>
      <c r="P115" s="28">
        <v>0.33</v>
      </c>
      <c r="Q115" s="28">
        <v>0.33</v>
      </c>
      <c r="R115" s="102">
        <v>0.32</v>
      </c>
    </row>
    <row r="116" spans="1:18" ht="18" customHeight="1" x14ac:dyDescent="0.15">
      <c r="A116" s="106"/>
      <c r="B116" s="106" t="s">
        <v>445</v>
      </c>
      <c r="C116" s="28">
        <v>0.49</v>
      </c>
      <c r="D116" s="101">
        <v>0.44</v>
      </c>
      <c r="E116" s="28">
        <v>0.43</v>
      </c>
      <c r="F116" s="28">
        <v>0.43</v>
      </c>
      <c r="G116" s="28">
        <v>0.43</v>
      </c>
      <c r="H116" s="102">
        <v>0.43</v>
      </c>
      <c r="I116" s="101">
        <v>0.42</v>
      </c>
      <c r="J116" s="28">
        <v>0.41</v>
      </c>
      <c r="K116" s="28">
        <v>0.4</v>
      </c>
      <c r="L116" s="28">
        <v>0.4</v>
      </c>
      <c r="M116" s="102">
        <v>0.39</v>
      </c>
      <c r="N116" s="101">
        <v>0.37</v>
      </c>
      <c r="O116" s="28">
        <v>0.34</v>
      </c>
      <c r="P116" s="28">
        <v>0.33</v>
      </c>
      <c r="Q116" s="28">
        <v>0.32</v>
      </c>
      <c r="R116" s="102">
        <v>0.32</v>
      </c>
    </row>
    <row r="117" spans="1:18" ht="18" customHeight="1" x14ac:dyDescent="0.15">
      <c r="A117" s="106"/>
      <c r="B117" s="106" t="s">
        <v>446</v>
      </c>
      <c r="C117" s="28">
        <v>0.49</v>
      </c>
      <c r="D117" s="101">
        <v>0.44</v>
      </c>
      <c r="E117" s="28">
        <v>0.44</v>
      </c>
      <c r="F117" s="28">
        <v>0.43</v>
      </c>
      <c r="G117" s="28">
        <v>0.43</v>
      </c>
      <c r="H117" s="102">
        <v>0.43</v>
      </c>
      <c r="I117" s="101">
        <v>0.42</v>
      </c>
      <c r="J117" s="28">
        <v>0.41</v>
      </c>
      <c r="K117" s="28">
        <v>0.4</v>
      </c>
      <c r="L117" s="28">
        <v>0.4</v>
      </c>
      <c r="M117" s="102">
        <v>0.4</v>
      </c>
      <c r="N117" s="101">
        <v>0.37</v>
      </c>
      <c r="O117" s="28">
        <v>0.34</v>
      </c>
      <c r="P117" s="28">
        <v>0.33</v>
      </c>
      <c r="Q117" s="28">
        <v>0.32</v>
      </c>
      <c r="R117" s="102">
        <v>0.32</v>
      </c>
    </row>
    <row r="118" spans="1:18" ht="18" customHeight="1" thickBot="1" x14ac:dyDescent="0.2">
      <c r="A118" s="106"/>
      <c r="B118" s="106" t="s">
        <v>447</v>
      </c>
      <c r="C118" s="104">
        <v>0.49</v>
      </c>
      <c r="D118" s="103">
        <v>0.45</v>
      </c>
      <c r="E118" s="104">
        <v>0.45</v>
      </c>
      <c r="F118" s="104">
        <v>0.45</v>
      </c>
      <c r="G118" s="104">
        <v>0.45</v>
      </c>
      <c r="H118" s="105">
        <v>0.45</v>
      </c>
      <c r="I118" s="103">
        <v>0.42</v>
      </c>
      <c r="J118" s="104">
        <v>0.42</v>
      </c>
      <c r="K118" s="104">
        <v>0.41</v>
      </c>
      <c r="L118" s="104">
        <v>0.41</v>
      </c>
      <c r="M118" s="105">
        <v>0.41</v>
      </c>
      <c r="N118" s="103">
        <v>0.37</v>
      </c>
      <c r="O118" s="104">
        <v>0.35</v>
      </c>
      <c r="P118" s="104">
        <v>0.33</v>
      </c>
      <c r="Q118" s="104">
        <v>0.33</v>
      </c>
      <c r="R118" s="105">
        <v>0.32</v>
      </c>
    </row>
    <row r="119" spans="1:18" ht="18" customHeight="1" x14ac:dyDescent="0.15">
      <c r="A119" s="107" t="s">
        <v>447</v>
      </c>
      <c r="B119" s="107" t="s">
        <v>452</v>
      </c>
      <c r="C119" s="28">
        <v>0.49</v>
      </c>
      <c r="D119" s="115">
        <v>0.47</v>
      </c>
      <c r="E119" s="99">
        <v>0.46</v>
      </c>
      <c r="F119" s="99">
        <v>0.46</v>
      </c>
      <c r="G119" s="99">
        <v>0.45</v>
      </c>
      <c r="H119" s="100">
        <v>0.45</v>
      </c>
      <c r="I119" s="98">
        <v>0.45</v>
      </c>
      <c r="J119" s="99">
        <v>0.44</v>
      </c>
      <c r="K119" s="99">
        <v>0.44</v>
      </c>
      <c r="L119" s="99">
        <v>0.43</v>
      </c>
      <c r="M119" s="100">
        <v>0.43</v>
      </c>
      <c r="N119" s="98">
        <v>0.42</v>
      </c>
      <c r="O119" s="99">
        <v>0.41</v>
      </c>
      <c r="P119" s="99">
        <v>0.4</v>
      </c>
      <c r="Q119" s="99">
        <v>0.39</v>
      </c>
      <c r="R119" s="100">
        <v>0.38</v>
      </c>
    </row>
    <row r="120" spans="1:18" ht="18" customHeight="1" x14ac:dyDescent="0.15">
      <c r="A120" s="107"/>
      <c r="B120" s="107" t="s">
        <v>443</v>
      </c>
      <c r="C120" s="28">
        <v>0.47</v>
      </c>
      <c r="D120" s="101">
        <v>0.43</v>
      </c>
      <c r="E120" s="28">
        <v>0.42</v>
      </c>
      <c r="F120" s="28">
        <v>0.42</v>
      </c>
      <c r="G120" s="28">
        <v>0.42</v>
      </c>
      <c r="H120" s="102">
        <v>0.42</v>
      </c>
      <c r="I120" s="101">
        <v>0.41</v>
      </c>
      <c r="J120" s="28">
        <v>0.4</v>
      </c>
      <c r="K120" s="28">
        <v>0.4</v>
      </c>
      <c r="L120" s="28">
        <v>0.39</v>
      </c>
      <c r="M120" s="102">
        <v>0.39</v>
      </c>
      <c r="N120" s="101">
        <v>0.38</v>
      </c>
      <c r="O120" s="28">
        <v>0.35</v>
      </c>
      <c r="P120" s="28">
        <v>0.34</v>
      </c>
      <c r="Q120" s="28">
        <v>0.33</v>
      </c>
      <c r="R120" s="102">
        <v>0.33</v>
      </c>
    </row>
    <row r="121" spans="1:18" ht="18" customHeight="1" x14ac:dyDescent="0.15">
      <c r="A121" s="107"/>
      <c r="B121" s="107" t="s">
        <v>444</v>
      </c>
      <c r="C121" s="28">
        <v>0.47</v>
      </c>
      <c r="D121" s="101">
        <v>0.43</v>
      </c>
      <c r="E121" s="28">
        <v>0.42</v>
      </c>
      <c r="F121" s="28">
        <v>0.42</v>
      </c>
      <c r="G121" s="28">
        <v>0.41</v>
      </c>
      <c r="H121" s="102">
        <v>0.41</v>
      </c>
      <c r="I121" s="101">
        <v>0.41</v>
      </c>
      <c r="J121" s="28">
        <v>0.39</v>
      </c>
      <c r="K121" s="28">
        <v>0.39</v>
      </c>
      <c r="L121" s="28">
        <v>0.39</v>
      </c>
      <c r="M121" s="102">
        <v>0.38</v>
      </c>
      <c r="N121" s="101">
        <v>0.36</v>
      </c>
      <c r="O121" s="28">
        <v>0.34</v>
      </c>
      <c r="P121" s="28">
        <v>0.33</v>
      </c>
      <c r="Q121" s="28">
        <v>0.32</v>
      </c>
      <c r="R121" s="102">
        <v>0.32</v>
      </c>
    </row>
    <row r="122" spans="1:18" ht="18" customHeight="1" x14ac:dyDescent="0.15">
      <c r="A122" s="107"/>
      <c r="B122" s="107" t="s">
        <v>445</v>
      </c>
      <c r="C122" s="28">
        <v>0.47</v>
      </c>
      <c r="D122" s="101">
        <v>0.43</v>
      </c>
      <c r="E122" s="28">
        <v>0.42</v>
      </c>
      <c r="F122" s="28">
        <v>0.42</v>
      </c>
      <c r="G122" s="28">
        <v>0.42</v>
      </c>
      <c r="H122" s="102">
        <v>0.41</v>
      </c>
      <c r="I122" s="101">
        <v>0.4</v>
      </c>
      <c r="J122" s="28">
        <v>0.39</v>
      </c>
      <c r="K122" s="28">
        <v>0.39</v>
      </c>
      <c r="L122" s="28">
        <v>0.39</v>
      </c>
      <c r="M122" s="102">
        <v>0.38</v>
      </c>
      <c r="N122" s="101">
        <v>0.36</v>
      </c>
      <c r="O122" s="28">
        <v>0.34</v>
      </c>
      <c r="P122" s="28">
        <v>0.32</v>
      </c>
      <c r="Q122" s="28">
        <v>0.32</v>
      </c>
      <c r="R122" s="102">
        <v>0.31</v>
      </c>
    </row>
    <row r="123" spans="1:18" ht="18" customHeight="1" x14ac:dyDescent="0.15">
      <c r="A123" s="107"/>
      <c r="B123" s="107" t="s">
        <v>446</v>
      </c>
      <c r="C123" s="28">
        <v>0.47</v>
      </c>
      <c r="D123" s="101">
        <v>0.43</v>
      </c>
      <c r="E123" s="28">
        <v>0.42</v>
      </c>
      <c r="F123" s="28">
        <v>0.42</v>
      </c>
      <c r="G123" s="28">
        <v>0.42</v>
      </c>
      <c r="H123" s="102">
        <v>0.42</v>
      </c>
      <c r="I123" s="101">
        <v>0.41</v>
      </c>
      <c r="J123" s="28">
        <v>0.39</v>
      </c>
      <c r="K123" s="28">
        <v>0.39</v>
      </c>
      <c r="L123" s="28">
        <v>0.39</v>
      </c>
      <c r="M123" s="102">
        <v>0.39</v>
      </c>
      <c r="N123" s="101">
        <v>0.36</v>
      </c>
      <c r="O123" s="28">
        <v>0.33</v>
      </c>
      <c r="P123" s="28">
        <v>0.32</v>
      </c>
      <c r="Q123" s="28">
        <v>0.31</v>
      </c>
      <c r="R123" s="102">
        <v>0.31</v>
      </c>
    </row>
    <row r="124" spans="1:18" ht="18" customHeight="1" thickBot="1" x14ac:dyDescent="0.2">
      <c r="A124" s="107"/>
      <c r="B124" s="107" t="s">
        <v>447</v>
      </c>
      <c r="C124" s="104">
        <v>0.47</v>
      </c>
      <c r="D124" s="103">
        <v>0.43</v>
      </c>
      <c r="E124" s="104">
        <v>0.43</v>
      </c>
      <c r="F124" s="104">
        <v>0.43</v>
      </c>
      <c r="G124" s="104">
        <v>0.43</v>
      </c>
      <c r="H124" s="105">
        <v>0.43</v>
      </c>
      <c r="I124" s="103">
        <v>0.41</v>
      </c>
      <c r="J124" s="104">
        <v>0.4</v>
      </c>
      <c r="K124" s="104">
        <v>0.4</v>
      </c>
      <c r="L124" s="104">
        <v>0.4</v>
      </c>
      <c r="M124" s="105">
        <v>0.39</v>
      </c>
      <c r="N124" s="103">
        <v>0.36</v>
      </c>
      <c r="O124" s="104">
        <v>0.33</v>
      </c>
      <c r="P124" s="104">
        <v>0.32</v>
      </c>
      <c r="Q124" s="104">
        <v>0.32</v>
      </c>
      <c r="R124" s="105">
        <v>0.31</v>
      </c>
    </row>
    <row r="126" spans="1:18" ht="18" customHeight="1" x14ac:dyDescent="0.15">
      <c r="A126" s="8" t="s">
        <v>457</v>
      </c>
      <c r="B126" s="8" t="s">
        <v>482</v>
      </c>
      <c r="C126" s="97" t="s">
        <v>451</v>
      </c>
      <c r="D126" s="93" t="s">
        <v>448</v>
      </c>
      <c r="E126" s="93"/>
      <c r="F126" s="93"/>
      <c r="G126" s="93"/>
      <c r="H126" s="93"/>
      <c r="I126" s="94" t="s">
        <v>449</v>
      </c>
      <c r="J126" s="94"/>
      <c r="K126" s="94"/>
      <c r="L126" s="94"/>
      <c r="M126" s="94"/>
      <c r="N126" s="95" t="s">
        <v>450</v>
      </c>
      <c r="O126" s="95"/>
      <c r="P126" s="95"/>
      <c r="Q126" s="96"/>
      <c r="R126" s="96"/>
    </row>
    <row r="127" spans="1:18" ht="18" customHeight="1" thickBot="1" x14ac:dyDescent="0.2">
      <c r="A127" s="8" t="s">
        <v>465</v>
      </c>
      <c r="B127" s="8" t="s">
        <v>484</v>
      </c>
      <c r="C127" s="97" t="s">
        <v>452</v>
      </c>
      <c r="D127" s="93" t="s">
        <v>443</v>
      </c>
      <c r="E127" s="93" t="s">
        <v>444</v>
      </c>
      <c r="F127" s="93" t="s">
        <v>445</v>
      </c>
      <c r="G127" s="93" t="s">
        <v>446</v>
      </c>
      <c r="H127" s="93" t="s">
        <v>447</v>
      </c>
      <c r="I127" s="94" t="s">
        <v>443</v>
      </c>
      <c r="J127" s="94" t="s">
        <v>444</v>
      </c>
      <c r="K127" s="94" t="s">
        <v>445</v>
      </c>
      <c r="L127" s="94" t="s">
        <v>446</v>
      </c>
      <c r="M127" s="94" t="s">
        <v>447</v>
      </c>
      <c r="N127" s="95" t="s">
        <v>443</v>
      </c>
      <c r="O127" s="95" t="s">
        <v>444</v>
      </c>
      <c r="P127" s="95" t="s">
        <v>445</v>
      </c>
      <c r="Q127" s="95" t="s">
        <v>446</v>
      </c>
      <c r="R127" s="95" t="s">
        <v>447</v>
      </c>
    </row>
    <row r="128" spans="1:18" ht="18" customHeight="1" x14ac:dyDescent="0.15">
      <c r="A128" s="97" t="s">
        <v>452</v>
      </c>
      <c r="B128" s="97" t="s">
        <v>452</v>
      </c>
      <c r="C128" s="28">
        <v>0.98</v>
      </c>
      <c r="D128" s="98">
        <v>0.95</v>
      </c>
      <c r="E128" s="99">
        <v>0.94</v>
      </c>
      <c r="F128" s="99">
        <v>0.93</v>
      </c>
      <c r="G128" s="99">
        <v>0.92</v>
      </c>
      <c r="H128" s="100">
        <v>0.91</v>
      </c>
      <c r="I128" s="98">
        <v>0.92</v>
      </c>
      <c r="J128" s="99">
        <v>0.91</v>
      </c>
      <c r="K128" s="99">
        <v>0.9</v>
      </c>
      <c r="L128" s="99">
        <v>0.89</v>
      </c>
      <c r="M128" s="99">
        <v>0.89</v>
      </c>
      <c r="N128" s="98">
        <v>0.87</v>
      </c>
      <c r="O128" s="99">
        <v>0.84</v>
      </c>
      <c r="P128" s="99">
        <v>0.83</v>
      </c>
      <c r="Q128" s="99">
        <v>0.82</v>
      </c>
      <c r="R128" s="100">
        <v>0.81</v>
      </c>
    </row>
    <row r="129" spans="1:18" ht="18" customHeight="1" x14ac:dyDescent="0.15">
      <c r="A129" s="97"/>
      <c r="B129" s="97" t="s">
        <v>443</v>
      </c>
      <c r="C129" s="28">
        <v>0.61</v>
      </c>
      <c r="D129" s="101">
        <v>0.56999999999999995</v>
      </c>
      <c r="E129" s="28">
        <v>0.56000000000000005</v>
      </c>
      <c r="F129" s="28">
        <v>0.55000000000000004</v>
      </c>
      <c r="G129" s="28">
        <v>0.54</v>
      </c>
      <c r="H129" s="102">
        <v>0.54</v>
      </c>
      <c r="I129" s="101">
        <v>0.54</v>
      </c>
      <c r="J129" s="28">
        <v>0.53</v>
      </c>
      <c r="K129" s="28">
        <v>0.51</v>
      </c>
      <c r="L129" s="28">
        <v>0.51</v>
      </c>
      <c r="M129" s="28">
        <v>0.5</v>
      </c>
      <c r="N129" s="101">
        <v>0.49</v>
      </c>
      <c r="O129" s="28">
        <v>0.46</v>
      </c>
      <c r="P129" s="28">
        <v>0.44</v>
      </c>
      <c r="Q129" s="28">
        <v>0.42</v>
      </c>
      <c r="R129" s="102">
        <v>0.41</v>
      </c>
    </row>
    <row r="130" spans="1:18" ht="18" customHeight="1" x14ac:dyDescent="0.15">
      <c r="A130" s="97"/>
      <c r="B130" s="97" t="s">
        <v>444</v>
      </c>
      <c r="C130" s="28">
        <v>0.56000000000000005</v>
      </c>
      <c r="D130" s="101">
        <v>0.52</v>
      </c>
      <c r="E130" s="28">
        <v>0.51</v>
      </c>
      <c r="F130" s="28">
        <v>0.5</v>
      </c>
      <c r="G130" s="28">
        <v>0.5</v>
      </c>
      <c r="H130" s="114">
        <v>0.49</v>
      </c>
      <c r="I130" s="101">
        <v>0.5</v>
      </c>
      <c r="J130" s="28">
        <v>0.48</v>
      </c>
      <c r="K130" s="28">
        <v>0.47</v>
      </c>
      <c r="L130" s="28">
        <v>0.46</v>
      </c>
      <c r="M130" s="28">
        <v>0.46</v>
      </c>
      <c r="N130" s="101">
        <v>0.45</v>
      </c>
      <c r="O130" s="28">
        <v>0.41</v>
      </c>
      <c r="P130" s="28">
        <v>0.39</v>
      </c>
      <c r="Q130" s="28">
        <v>0.38</v>
      </c>
      <c r="R130" s="102">
        <v>0.37</v>
      </c>
    </row>
    <row r="131" spans="1:18" ht="18" customHeight="1" x14ac:dyDescent="0.15">
      <c r="A131" s="97"/>
      <c r="B131" s="97" t="s">
        <v>445</v>
      </c>
      <c r="C131" s="28">
        <v>0.53</v>
      </c>
      <c r="D131" s="101">
        <v>0.5</v>
      </c>
      <c r="E131" s="28">
        <v>0.49</v>
      </c>
      <c r="F131" s="28">
        <v>0.48</v>
      </c>
      <c r="G131" s="28">
        <v>0.48</v>
      </c>
      <c r="H131" s="102">
        <v>0.47</v>
      </c>
      <c r="I131" s="101">
        <v>0.47</v>
      </c>
      <c r="J131" s="28">
        <v>0.46</v>
      </c>
      <c r="K131" s="28">
        <v>0.45</v>
      </c>
      <c r="L131" s="28">
        <v>0.44</v>
      </c>
      <c r="M131" s="28">
        <v>0.44</v>
      </c>
      <c r="N131" s="101">
        <v>0.42</v>
      </c>
      <c r="O131" s="28">
        <v>0.39</v>
      </c>
      <c r="P131" s="28">
        <v>0.37</v>
      </c>
      <c r="Q131" s="28">
        <v>0.36</v>
      </c>
      <c r="R131" s="102">
        <v>0.35</v>
      </c>
    </row>
    <row r="132" spans="1:18" ht="18" customHeight="1" x14ac:dyDescent="0.15">
      <c r="A132" s="97"/>
      <c r="B132" s="97" t="s">
        <v>446</v>
      </c>
      <c r="C132" s="28">
        <v>0.51</v>
      </c>
      <c r="D132" s="101">
        <v>0.48</v>
      </c>
      <c r="E132" s="28">
        <v>0.47</v>
      </c>
      <c r="F132" s="28">
        <v>0.47</v>
      </c>
      <c r="G132" s="28">
        <v>0.47</v>
      </c>
      <c r="H132" s="102">
        <v>0.46</v>
      </c>
      <c r="I132" s="101">
        <v>0.46</v>
      </c>
      <c r="J132" s="28">
        <v>0.45</v>
      </c>
      <c r="K132" s="28">
        <v>0.44</v>
      </c>
      <c r="L132" s="28">
        <v>0.43</v>
      </c>
      <c r="M132" s="28">
        <v>0.43</v>
      </c>
      <c r="N132" s="101">
        <v>0.41</v>
      </c>
      <c r="O132" s="28">
        <v>0.38</v>
      </c>
      <c r="P132" s="28">
        <v>0.36</v>
      </c>
      <c r="Q132" s="28">
        <v>0.35</v>
      </c>
      <c r="R132" s="102">
        <v>0.34</v>
      </c>
    </row>
    <row r="133" spans="1:18" ht="18" customHeight="1" thickBot="1" x14ac:dyDescent="0.2">
      <c r="A133" s="97"/>
      <c r="B133" s="97" t="s">
        <v>447</v>
      </c>
      <c r="C133" s="104">
        <v>0.49</v>
      </c>
      <c r="D133" s="103">
        <v>0.47</v>
      </c>
      <c r="E133" s="104">
        <v>0.46</v>
      </c>
      <c r="F133" s="104">
        <v>0.46</v>
      </c>
      <c r="G133" s="104">
        <v>0.46</v>
      </c>
      <c r="H133" s="105">
        <v>0.45</v>
      </c>
      <c r="I133" s="103">
        <v>0.45</v>
      </c>
      <c r="J133" s="104">
        <v>0.44</v>
      </c>
      <c r="K133" s="104">
        <v>0.43</v>
      </c>
      <c r="L133" s="104">
        <v>0.42</v>
      </c>
      <c r="M133" s="104">
        <v>0.42</v>
      </c>
      <c r="N133" s="103">
        <v>0.4</v>
      </c>
      <c r="O133" s="104">
        <v>0.37</v>
      </c>
      <c r="P133" s="104">
        <v>0.35</v>
      </c>
      <c r="Q133" s="104">
        <v>0.34</v>
      </c>
      <c r="R133" s="105">
        <v>0.34</v>
      </c>
    </row>
    <row r="134" spans="1:18" ht="18" customHeight="1" x14ac:dyDescent="0.15">
      <c r="A134" s="93" t="s">
        <v>443</v>
      </c>
      <c r="B134" s="93" t="s">
        <v>452</v>
      </c>
      <c r="C134" s="28">
        <v>0.61</v>
      </c>
      <c r="D134" s="98">
        <v>0.57999999999999996</v>
      </c>
      <c r="E134" s="99">
        <v>0.57999999999999996</v>
      </c>
      <c r="F134" s="99">
        <v>0.56999999999999995</v>
      </c>
      <c r="G134" s="99">
        <v>0.56999999999999995</v>
      </c>
      <c r="H134" s="100">
        <v>0.56999999999999995</v>
      </c>
      <c r="I134" s="98">
        <v>0.56999999999999995</v>
      </c>
      <c r="J134" s="99">
        <v>0.56000000000000005</v>
      </c>
      <c r="K134" s="99">
        <v>0.56000000000000005</v>
      </c>
      <c r="L134" s="99">
        <v>0.55000000000000004</v>
      </c>
      <c r="M134" s="99">
        <v>0.55000000000000004</v>
      </c>
      <c r="N134" s="98">
        <v>0.54</v>
      </c>
      <c r="O134" s="99">
        <v>0.52</v>
      </c>
      <c r="P134" s="99">
        <v>0.51</v>
      </c>
      <c r="Q134" s="99">
        <v>0.5</v>
      </c>
      <c r="R134" s="100">
        <v>0.49</v>
      </c>
    </row>
    <row r="135" spans="1:18" ht="18" customHeight="1" x14ac:dyDescent="0.15">
      <c r="A135" s="93"/>
      <c r="B135" s="93" t="s">
        <v>443</v>
      </c>
      <c r="C135" s="28">
        <v>0.5</v>
      </c>
      <c r="D135" s="101">
        <v>0.47</v>
      </c>
      <c r="E135" s="28">
        <v>0.46</v>
      </c>
      <c r="F135" s="28">
        <v>0.45</v>
      </c>
      <c r="G135" s="28">
        <v>0.45</v>
      </c>
      <c r="H135" s="102">
        <v>0.44</v>
      </c>
      <c r="I135" s="101">
        <v>0.45</v>
      </c>
      <c r="J135" s="28">
        <v>0.43</v>
      </c>
      <c r="K135" s="28">
        <v>0.43</v>
      </c>
      <c r="L135" s="28">
        <v>0.42</v>
      </c>
      <c r="M135" s="28">
        <v>0.41</v>
      </c>
      <c r="N135" s="101">
        <v>0.41</v>
      </c>
      <c r="O135" s="28">
        <v>0.38</v>
      </c>
      <c r="P135" s="28">
        <v>0.36</v>
      </c>
      <c r="Q135" s="28">
        <v>0.35</v>
      </c>
      <c r="R135" s="102">
        <v>0.35</v>
      </c>
    </row>
    <row r="136" spans="1:18" ht="18" customHeight="1" x14ac:dyDescent="0.15">
      <c r="A136" s="93"/>
      <c r="B136" s="93" t="s">
        <v>444</v>
      </c>
      <c r="C136" s="28">
        <v>0.47</v>
      </c>
      <c r="D136" s="101">
        <v>0.44</v>
      </c>
      <c r="E136" s="28">
        <v>0.44</v>
      </c>
      <c r="F136" s="28">
        <v>0.43</v>
      </c>
      <c r="G136" s="28">
        <v>0.43</v>
      </c>
      <c r="H136" s="102">
        <v>0.42</v>
      </c>
      <c r="I136" s="101">
        <v>0.42</v>
      </c>
      <c r="J136" s="28">
        <v>0.41</v>
      </c>
      <c r="K136" s="28">
        <v>0.4</v>
      </c>
      <c r="L136" s="28">
        <v>0.4</v>
      </c>
      <c r="M136" s="28">
        <v>0.39</v>
      </c>
      <c r="N136" s="101">
        <v>0.38</v>
      </c>
      <c r="O136" s="28">
        <v>0.35</v>
      </c>
      <c r="P136" s="28">
        <v>0.34</v>
      </c>
      <c r="Q136" s="28">
        <v>0.33</v>
      </c>
      <c r="R136" s="102">
        <v>0.32</v>
      </c>
    </row>
    <row r="137" spans="1:18" ht="18" customHeight="1" x14ac:dyDescent="0.15">
      <c r="A137" s="93"/>
      <c r="B137" s="93" t="s">
        <v>445</v>
      </c>
      <c r="C137" s="28">
        <v>0.46</v>
      </c>
      <c r="D137" s="101">
        <v>0.43</v>
      </c>
      <c r="E137" s="28">
        <v>0.43</v>
      </c>
      <c r="F137" s="28">
        <v>0.42</v>
      </c>
      <c r="G137" s="28">
        <v>0.42</v>
      </c>
      <c r="H137" s="102">
        <v>0.41</v>
      </c>
      <c r="I137" s="101">
        <v>0.41</v>
      </c>
      <c r="J137" s="28">
        <v>0.4</v>
      </c>
      <c r="K137" s="28">
        <v>0.39</v>
      </c>
      <c r="L137" s="28">
        <v>0.39</v>
      </c>
      <c r="M137" s="28">
        <v>0.38</v>
      </c>
      <c r="N137" s="101">
        <v>0.37</v>
      </c>
      <c r="O137" s="28">
        <v>0.34</v>
      </c>
      <c r="P137" s="28">
        <v>0.33</v>
      </c>
      <c r="Q137" s="28">
        <v>0.32</v>
      </c>
      <c r="R137" s="102">
        <v>0.31</v>
      </c>
    </row>
    <row r="138" spans="1:18" ht="18" customHeight="1" x14ac:dyDescent="0.15">
      <c r="A138" s="93"/>
      <c r="B138" s="93" t="s">
        <v>446</v>
      </c>
      <c r="C138" s="28">
        <v>0.45</v>
      </c>
      <c r="D138" s="101">
        <v>0.43</v>
      </c>
      <c r="E138" s="28">
        <v>0.42</v>
      </c>
      <c r="F138" s="28">
        <v>0.42</v>
      </c>
      <c r="G138" s="28">
        <v>0.41</v>
      </c>
      <c r="H138" s="102">
        <v>0.41</v>
      </c>
      <c r="I138" s="101">
        <v>0.41</v>
      </c>
      <c r="J138" s="28">
        <v>0.4</v>
      </c>
      <c r="K138" s="28">
        <v>0.39</v>
      </c>
      <c r="L138" s="28">
        <v>0.38</v>
      </c>
      <c r="M138" s="28">
        <v>0.38</v>
      </c>
      <c r="N138" s="101">
        <v>0.36</v>
      </c>
      <c r="O138" s="28">
        <v>0.34</v>
      </c>
      <c r="P138" s="28">
        <v>0.32</v>
      </c>
      <c r="Q138" s="28">
        <v>0.31</v>
      </c>
      <c r="R138" s="102">
        <v>0.31</v>
      </c>
    </row>
    <row r="139" spans="1:18" ht="18" customHeight="1" thickBot="1" x14ac:dyDescent="0.2">
      <c r="A139" s="93"/>
      <c r="B139" s="93" t="s">
        <v>447</v>
      </c>
      <c r="C139" s="104">
        <v>0.44</v>
      </c>
      <c r="D139" s="103">
        <v>0.42</v>
      </c>
      <c r="E139" s="104">
        <v>0.42</v>
      </c>
      <c r="F139" s="104">
        <v>0.41</v>
      </c>
      <c r="G139" s="104">
        <v>0.41</v>
      </c>
      <c r="H139" s="105">
        <v>0.41</v>
      </c>
      <c r="I139" s="103">
        <v>0.4</v>
      </c>
      <c r="J139" s="104">
        <v>0.39</v>
      </c>
      <c r="K139" s="104">
        <v>0.38</v>
      </c>
      <c r="L139" s="104">
        <v>0.38</v>
      </c>
      <c r="M139" s="104">
        <v>0.37</v>
      </c>
      <c r="N139" s="103">
        <v>0.36</v>
      </c>
      <c r="O139" s="104">
        <v>0.33</v>
      </c>
      <c r="P139" s="104">
        <v>0.32</v>
      </c>
      <c r="Q139" s="104">
        <v>0.31</v>
      </c>
      <c r="R139" s="105">
        <v>0.3</v>
      </c>
    </row>
    <row r="140" spans="1:18" ht="18" customHeight="1" x14ac:dyDescent="0.15">
      <c r="A140" s="94" t="s">
        <v>444</v>
      </c>
      <c r="B140" s="94" t="s">
        <v>452</v>
      </c>
      <c r="C140" s="28">
        <v>0.55000000000000004</v>
      </c>
      <c r="D140" s="98">
        <v>0.53</v>
      </c>
      <c r="E140" s="99">
        <v>0.53</v>
      </c>
      <c r="F140" s="99">
        <v>0.53</v>
      </c>
      <c r="G140" s="99">
        <v>0.52</v>
      </c>
      <c r="H140" s="100">
        <v>0.52</v>
      </c>
      <c r="I140" s="98">
        <v>0.52</v>
      </c>
      <c r="J140" s="99">
        <v>0.51</v>
      </c>
      <c r="K140" s="99">
        <v>0.51</v>
      </c>
      <c r="L140" s="99">
        <v>0.5</v>
      </c>
      <c r="M140" s="99">
        <v>0.5</v>
      </c>
      <c r="N140" s="98">
        <v>0.49</v>
      </c>
      <c r="O140" s="99">
        <v>0.47</v>
      </c>
      <c r="P140" s="99">
        <v>0.46</v>
      </c>
      <c r="Q140" s="99">
        <v>0.46</v>
      </c>
      <c r="R140" s="100">
        <v>0.45</v>
      </c>
    </row>
    <row r="141" spans="1:18" ht="18" customHeight="1" x14ac:dyDescent="0.15">
      <c r="A141" s="94"/>
      <c r="B141" s="94" t="s">
        <v>443</v>
      </c>
      <c r="C141" s="28">
        <v>0.47</v>
      </c>
      <c r="D141" s="101">
        <v>0.45</v>
      </c>
      <c r="E141" s="28">
        <v>0.44</v>
      </c>
      <c r="F141" s="28">
        <v>0.43</v>
      </c>
      <c r="G141" s="28">
        <v>0.43</v>
      </c>
      <c r="H141" s="102">
        <v>0.43</v>
      </c>
      <c r="I141" s="101">
        <v>0.43</v>
      </c>
      <c r="J141" s="28">
        <v>0.42</v>
      </c>
      <c r="K141" s="28">
        <v>0.41</v>
      </c>
      <c r="L141" s="28">
        <v>0.4</v>
      </c>
      <c r="M141" s="28">
        <v>0.4</v>
      </c>
      <c r="N141" s="101">
        <v>0.39</v>
      </c>
      <c r="O141" s="28">
        <v>0.37</v>
      </c>
      <c r="P141" s="28">
        <v>0.35</v>
      </c>
      <c r="Q141" s="28">
        <v>0.34</v>
      </c>
      <c r="R141" s="102">
        <v>0.34</v>
      </c>
    </row>
    <row r="142" spans="1:18" ht="18" customHeight="1" x14ac:dyDescent="0.15">
      <c r="A142" s="94"/>
      <c r="B142" s="94" t="s">
        <v>444</v>
      </c>
      <c r="C142" s="28">
        <v>0.45</v>
      </c>
      <c r="D142" s="101">
        <v>0.42</v>
      </c>
      <c r="E142" s="28">
        <v>0.42</v>
      </c>
      <c r="F142" s="28">
        <v>0.41</v>
      </c>
      <c r="G142" s="28">
        <v>0.41</v>
      </c>
      <c r="H142" s="102">
        <v>0.4</v>
      </c>
      <c r="I142" s="101">
        <v>0.4</v>
      </c>
      <c r="J142" s="28">
        <v>0.39</v>
      </c>
      <c r="K142" s="28">
        <v>0.39</v>
      </c>
      <c r="L142" s="28">
        <v>0.38</v>
      </c>
      <c r="M142" s="28">
        <v>0.38</v>
      </c>
      <c r="N142" s="101">
        <v>0.37</v>
      </c>
      <c r="O142" s="28">
        <v>0.34</v>
      </c>
      <c r="P142" s="110">
        <v>0.33</v>
      </c>
      <c r="Q142" s="28">
        <v>0.32</v>
      </c>
      <c r="R142" s="102">
        <v>0.31</v>
      </c>
    </row>
    <row r="143" spans="1:18" ht="18" customHeight="1" x14ac:dyDescent="0.15">
      <c r="A143" s="94"/>
      <c r="B143" s="94" t="s">
        <v>445</v>
      </c>
      <c r="C143" s="28">
        <v>0.44</v>
      </c>
      <c r="D143" s="101">
        <v>0.41</v>
      </c>
      <c r="E143" s="28">
        <v>0.41</v>
      </c>
      <c r="F143" s="28">
        <v>0.4</v>
      </c>
      <c r="G143" s="28">
        <v>0.4</v>
      </c>
      <c r="H143" s="102">
        <v>0.4</v>
      </c>
      <c r="I143" s="101">
        <v>0.39</v>
      </c>
      <c r="J143" s="28">
        <v>0.38</v>
      </c>
      <c r="K143" s="28">
        <v>0.38</v>
      </c>
      <c r="L143" s="28">
        <v>0.37</v>
      </c>
      <c r="M143" s="28">
        <v>0.37</v>
      </c>
      <c r="N143" s="101">
        <v>0.35</v>
      </c>
      <c r="O143" s="28">
        <v>0.33</v>
      </c>
      <c r="P143" s="28">
        <v>0.32</v>
      </c>
      <c r="Q143" s="28">
        <v>0.31</v>
      </c>
      <c r="R143" s="102">
        <v>0.3</v>
      </c>
    </row>
    <row r="144" spans="1:18" ht="18" customHeight="1" x14ac:dyDescent="0.15">
      <c r="A144" s="94"/>
      <c r="B144" s="94" t="s">
        <v>446</v>
      </c>
      <c r="C144" s="28">
        <v>0.43</v>
      </c>
      <c r="D144" s="101">
        <v>0.41</v>
      </c>
      <c r="E144" s="28">
        <v>0.4</v>
      </c>
      <c r="F144" s="28">
        <v>0.4</v>
      </c>
      <c r="G144" s="28">
        <v>0.39</v>
      </c>
      <c r="H144" s="102">
        <v>0.39</v>
      </c>
      <c r="I144" s="101">
        <v>0.39</v>
      </c>
      <c r="J144" s="28">
        <v>0.38</v>
      </c>
      <c r="K144" s="28">
        <v>0.37</v>
      </c>
      <c r="L144" s="28">
        <v>0.37</v>
      </c>
      <c r="M144" s="28">
        <v>0.36</v>
      </c>
      <c r="N144" s="101">
        <v>0.35</v>
      </c>
      <c r="O144" s="28">
        <v>0.32</v>
      </c>
      <c r="P144" s="28">
        <v>0.31</v>
      </c>
      <c r="Q144" s="28">
        <v>0.3</v>
      </c>
      <c r="R144" s="102">
        <v>0.28999999999999998</v>
      </c>
    </row>
    <row r="145" spans="1:18" ht="18" customHeight="1" thickBot="1" x14ac:dyDescent="0.2">
      <c r="A145" s="94"/>
      <c r="B145" s="94" t="s">
        <v>447</v>
      </c>
      <c r="C145" s="104">
        <v>0.42</v>
      </c>
      <c r="D145" s="103">
        <v>0.4</v>
      </c>
      <c r="E145" s="104">
        <v>0.4</v>
      </c>
      <c r="F145" s="104">
        <v>0.39</v>
      </c>
      <c r="G145" s="104">
        <v>0.39</v>
      </c>
      <c r="H145" s="105">
        <v>0.39</v>
      </c>
      <c r="I145" s="103">
        <v>0.38</v>
      </c>
      <c r="J145" s="104">
        <v>0.37</v>
      </c>
      <c r="K145" s="104">
        <v>0.37</v>
      </c>
      <c r="L145" s="104">
        <v>0.36</v>
      </c>
      <c r="M145" s="104">
        <v>0.36</v>
      </c>
      <c r="N145" s="103">
        <v>0.34</v>
      </c>
      <c r="O145" s="104">
        <v>0.32</v>
      </c>
      <c r="P145" s="104">
        <v>0.3</v>
      </c>
      <c r="Q145" s="104">
        <v>0.3</v>
      </c>
      <c r="R145" s="105">
        <v>0.28999999999999998</v>
      </c>
    </row>
    <row r="146" spans="1:18" ht="18" customHeight="1" x14ac:dyDescent="0.15">
      <c r="A146" s="95" t="s">
        <v>445</v>
      </c>
      <c r="B146" s="95" t="s">
        <v>452</v>
      </c>
      <c r="C146" s="28">
        <v>0.53</v>
      </c>
      <c r="D146" s="98">
        <v>0.51</v>
      </c>
      <c r="E146" s="99">
        <v>0.5</v>
      </c>
      <c r="F146" s="99">
        <v>0.5</v>
      </c>
      <c r="G146" s="99">
        <v>0.5</v>
      </c>
      <c r="H146" s="100">
        <v>0.49</v>
      </c>
      <c r="I146" s="98">
        <v>0.5</v>
      </c>
      <c r="J146" s="99">
        <v>0.49</v>
      </c>
      <c r="K146" s="99">
        <v>0.48</v>
      </c>
      <c r="L146" s="99">
        <v>0.48</v>
      </c>
      <c r="M146" s="99">
        <v>0.48</v>
      </c>
      <c r="N146" s="98">
        <v>0.47</v>
      </c>
      <c r="O146" s="99">
        <v>0.45</v>
      </c>
      <c r="P146" s="99">
        <v>0.44</v>
      </c>
      <c r="Q146" s="99">
        <v>0.43</v>
      </c>
      <c r="R146" s="100">
        <v>0.43</v>
      </c>
    </row>
    <row r="147" spans="1:18" ht="18" customHeight="1" x14ac:dyDescent="0.15">
      <c r="A147" s="95"/>
      <c r="B147" s="95" t="s">
        <v>443</v>
      </c>
      <c r="C147" s="28">
        <v>0.46</v>
      </c>
      <c r="D147" s="101">
        <v>0.43</v>
      </c>
      <c r="E147" s="28">
        <v>0.43</v>
      </c>
      <c r="F147" s="28">
        <v>0.42</v>
      </c>
      <c r="G147" s="28">
        <v>0.42</v>
      </c>
      <c r="H147" s="102">
        <v>0.42</v>
      </c>
      <c r="I147" s="101">
        <v>0.42</v>
      </c>
      <c r="J147" s="28">
        <v>0.41</v>
      </c>
      <c r="K147" s="28">
        <v>0.4</v>
      </c>
      <c r="L147" s="28">
        <v>0.4</v>
      </c>
      <c r="M147" s="28">
        <v>0.39</v>
      </c>
      <c r="N147" s="101">
        <v>0.38</v>
      </c>
      <c r="O147" s="28">
        <v>0.36</v>
      </c>
      <c r="P147" s="28">
        <v>0.35</v>
      </c>
      <c r="Q147" s="28">
        <v>0.34</v>
      </c>
      <c r="R147" s="102">
        <v>0.33</v>
      </c>
    </row>
    <row r="148" spans="1:18" ht="18" customHeight="1" x14ac:dyDescent="0.15">
      <c r="A148" s="95"/>
      <c r="B148" s="95" t="s">
        <v>444</v>
      </c>
      <c r="C148" s="28">
        <v>0.44</v>
      </c>
      <c r="D148" s="101">
        <v>0.41</v>
      </c>
      <c r="E148" s="28">
        <v>0.41</v>
      </c>
      <c r="F148" s="28">
        <v>0.4</v>
      </c>
      <c r="G148" s="28">
        <v>0.4</v>
      </c>
      <c r="H148" s="102">
        <v>0.4</v>
      </c>
      <c r="I148" s="101">
        <v>0.4</v>
      </c>
      <c r="J148" s="28">
        <v>0.38</v>
      </c>
      <c r="K148" s="28">
        <v>0.38</v>
      </c>
      <c r="L148" s="28">
        <v>0.37</v>
      </c>
      <c r="M148" s="28">
        <v>0.37</v>
      </c>
      <c r="N148" s="101">
        <v>0.36</v>
      </c>
      <c r="O148" s="28">
        <v>0.33</v>
      </c>
      <c r="P148" s="28">
        <v>0.32</v>
      </c>
      <c r="Q148" s="28">
        <v>0.31</v>
      </c>
      <c r="R148" s="102">
        <v>0.31</v>
      </c>
    </row>
    <row r="149" spans="1:18" ht="18" customHeight="1" x14ac:dyDescent="0.15">
      <c r="A149" s="95"/>
      <c r="B149" s="95" t="s">
        <v>445</v>
      </c>
      <c r="C149" s="28">
        <v>0.42</v>
      </c>
      <c r="D149" s="101">
        <v>0.4</v>
      </c>
      <c r="E149" s="28">
        <v>0.4</v>
      </c>
      <c r="F149" s="28">
        <v>0.39</v>
      </c>
      <c r="G149" s="28">
        <v>0.39</v>
      </c>
      <c r="H149" s="102">
        <v>0.38</v>
      </c>
      <c r="I149" s="101">
        <v>0.38</v>
      </c>
      <c r="J149" s="28">
        <v>0.37</v>
      </c>
      <c r="K149" s="28">
        <v>0.37</v>
      </c>
      <c r="L149" s="28">
        <v>0.36</v>
      </c>
      <c r="M149" s="28">
        <v>0.36</v>
      </c>
      <c r="N149" s="101">
        <v>0.35</v>
      </c>
      <c r="O149" s="28">
        <v>0.32</v>
      </c>
      <c r="P149" s="28">
        <v>0.31</v>
      </c>
      <c r="Q149" s="28">
        <v>0.3</v>
      </c>
      <c r="R149" s="102">
        <v>0.28999999999999998</v>
      </c>
    </row>
    <row r="150" spans="1:18" ht="18" customHeight="1" x14ac:dyDescent="0.15">
      <c r="A150" s="95"/>
      <c r="B150" s="95" t="s">
        <v>446</v>
      </c>
      <c r="C150" s="28">
        <v>0.41</v>
      </c>
      <c r="D150" s="101">
        <v>0.39</v>
      </c>
      <c r="E150" s="28">
        <v>0.39</v>
      </c>
      <c r="F150" s="28">
        <v>0.38</v>
      </c>
      <c r="G150" s="28">
        <v>0.38</v>
      </c>
      <c r="H150" s="102">
        <v>0.38</v>
      </c>
      <c r="I150" s="101">
        <v>0.38</v>
      </c>
      <c r="J150" s="28">
        <v>0.37</v>
      </c>
      <c r="K150" s="28">
        <v>0.36</v>
      </c>
      <c r="L150" s="28">
        <v>0.36</v>
      </c>
      <c r="M150" s="28">
        <v>0.35</v>
      </c>
      <c r="N150" s="101">
        <v>0.34</v>
      </c>
      <c r="O150" s="28">
        <v>0.31</v>
      </c>
      <c r="P150" s="28">
        <v>0.3</v>
      </c>
      <c r="Q150" s="28">
        <v>0.28999999999999998</v>
      </c>
      <c r="R150" s="102">
        <v>0.28999999999999998</v>
      </c>
    </row>
    <row r="151" spans="1:18" ht="18" customHeight="1" thickBot="1" x14ac:dyDescent="0.2">
      <c r="A151" s="95"/>
      <c r="B151" s="95" t="s">
        <v>447</v>
      </c>
      <c r="C151" s="105">
        <v>0.41</v>
      </c>
      <c r="D151" s="103">
        <v>0.39</v>
      </c>
      <c r="E151" s="104">
        <v>0.38</v>
      </c>
      <c r="F151" s="104">
        <v>0.38</v>
      </c>
      <c r="G151" s="104">
        <v>0.38</v>
      </c>
      <c r="H151" s="105">
        <v>0.37</v>
      </c>
      <c r="I151" s="103">
        <v>0.37</v>
      </c>
      <c r="J151" s="104">
        <v>0.36</v>
      </c>
      <c r="K151" s="104">
        <v>0.36</v>
      </c>
      <c r="L151" s="104">
        <v>0.35</v>
      </c>
      <c r="M151" s="104">
        <v>0.35</v>
      </c>
      <c r="N151" s="103">
        <v>0.33</v>
      </c>
      <c r="O151" s="104">
        <v>0.31</v>
      </c>
      <c r="P151" s="104">
        <v>0.3</v>
      </c>
      <c r="Q151" s="104">
        <v>0.28999999999999998</v>
      </c>
      <c r="R151" s="105">
        <v>0.28000000000000003</v>
      </c>
    </row>
    <row r="152" spans="1:18" ht="18" customHeight="1" x14ac:dyDescent="0.15">
      <c r="A152" s="106" t="s">
        <v>446</v>
      </c>
      <c r="B152" s="106" t="s">
        <v>452</v>
      </c>
      <c r="C152" s="28">
        <v>0.51</v>
      </c>
      <c r="D152" s="98">
        <v>0.49</v>
      </c>
      <c r="E152" s="99">
        <v>0.49</v>
      </c>
      <c r="F152" s="99">
        <v>0.48</v>
      </c>
      <c r="G152" s="99">
        <v>0.48</v>
      </c>
      <c r="H152" s="100">
        <v>0.48</v>
      </c>
      <c r="I152" s="98">
        <v>0.48</v>
      </c>
      <c r="J152" s="99">
        <v>0.47</v>
      </c>
      <c r="K152" s="99">
        <v>0.47</v>
      </c>
      <c r="L152" s="99">
        <v>0.46</v>
      </c>
      <c r="M152" s="99">
        <v>0.46</v>
      </c>
      <c r="N152" s="98">
        <v>0.45</v>
      </c>
      <c r="O152" s="99">
        <v>0.43</v>
      </c>
      <c r="P152" s="99">
        <v>0.42</v>
      </c>
      <c r="Q152" s="99">
        <v>0.42</v>
      </c>
      <c r="R152" s="100">
        <v>0.41</v>
      </c>
    </row>
    <row r="153" spans="1:18" ht="18" customHeight="1" x14ac:dyDescent="0.15">
      <c r="A153" s="106"/>
      <c r="B153" s="106" t="s">
        <v>443</v>
      </c>
      <c r="C153" s="28">
        <v>0.45</v>
      </c>
      <c r="D153" s="101">
        <v>0.43</v>
      </c>
      <c r="E153" s="28">
        <v>0.42</v>
      </c>
      <c r="F153" s="28">
        <v>0.42</v>
      </c>
      <c r="G153" s="28">
        <v>0.41</v>
      </c>
      <c r="H153" s="102">
        <v>0.41</v>
      </c>
      <c r="I153" s="101">
        <v>0.41</v>
      </c>
      <c r="J153" s="28">
        <v>0.4</v>
      </c>
      <c r="K153" s="28">
        <v>0.39</v>
      </c>
      <c r="L153" s="28">
        <v>0.39</v>
      </c>
      <c r="M153" s="28">
        <v>0.39</v>
      </c>
      <c r="N153" s="101">
        <v>0.38</v>
      </c>
      <c r="O153" s="28">
        <v>0.35</v>
      </c>
      <c r="P153" s="28">
        <v>0.34</v>
      </c>
      <c r="Q153" s="28">
        <v>0.33</v>
      </c>
      <c r="R153" s="102">
        <v>0.33</v>
      </c>
    </row>
    <row r="154" spans="1:18" ht="18" customHeight="1" x14ac:dyDescent="0.15">
      <c r="A154" s="106"/>
      <c r="B154" s="106" t="s">
        <v>444</v>
      </c>
      <c r="C154" s="28">
        <v>0.43</v>
      </c>
      <c r="D154" s="101">
        <v>0.4</v>
      </c>
      <c r="E154" s="28">
        <v>0.4</v>
      </c>
      <c r="F154" s="28">
        <v>0.39</v>
      </c>
      <c r="G154" s="28">
        <v>0.39</v>
      </c>
      <c r="H154" s="102">
        <v>0.39</v>
      </c>
      <c r="I154" s="101">
        <v>0.39</v>
      </c>
      <c r="J154" s="28">
        <v>0.38</v>
      </c>
      <c r="K154" s="28">
        <v>0.37</v>
      </c>
      <c r="L154" s="28">
        <v>0.37</v>
      </c>
      <c r="M154" s="28">
        <v>0.36</v>
      </c>
      <c r="N154" s="101">
        <v>0.35</v>
      </c>
      <c r="O154" s="28">
        <v>0.33</v>
      </c>
      <c r="P154" s="28">
        <v>0.32</v>
      </c>
      <c r="Q154" s="28">
        <v>0.31</v>
      </c>
      <c r="R154" s="102">
        <v>0.3</v>
      </c>
    </row>
    <row r="155" spans="1:18" ht="18" customHeight="1" x14ac:dyDescent="0.15">
      <c r="A155" s="106"/>
      <c r="B155" s="106" t="s">
        <v>445</v>
      </c>
      <c r="C155" s="28">
        <v>0.41</v>
      </c>
      <c r="D155" s="101">
        <v>0.39</v>
      </c>
      <c r="E155" s="28">
        <v>0.39</v>
      </c>
      <c r="F155" s="28">
        <v>0.38</v>
      </c>
      <c r="G155" s="28">
        <v>0.38</v>
      </c>
      <c r="H155" s="102">
        <v>0.38</v>
      </c>
      <c r="I155" s="101">
        <v>0.38</v>
      </c>
      <c r="J155" s="28">
        <v>0.36</v>
      </c>
      <c r="K155" s="28">
        <v>0.36</v>
      </c>
      <c r="L155" s="28">
        <v>0.35</v>
      </c>
      <c r="M155" s="28">
        <v>0.35</v>
      </c>
      <c r="N155" s="101">
        <v>0.34</v>
      </c>
      <c r="O155" s="28">
        <v>0.32</v>
      </c>
      <c r="P155" s="28">
        <v>0.3</v>
      </c>
      <c r="Q155" s="28">
        <v>0.3</v>
      </c>
      <c r="R155" s="102">
        <v>0.28999999999999998</v>
      </c>
    </row>
    <row r="156" spans="1:18" ht="18" customHeight="1" x14ac:dyDescent="0.15">
      <c r="A156" s="106"/>
      <c r="B156" s="106" t="s">
        <v>446</v>
      </c>
      <c r="C156" s="28">
        <v>0.4</v>
      </c>
      <c r="D156" s="101">
        <v>0.38</v>
      </c>
      <c r="E156" s="28">
        <v>0.38</v>
      </c>
      <c r="F156" s="28">
        <v>0.38</v>
      </c>
      <c r="G156" s="28">
        <v>0.37</v>
      </c>
      <c r="H156" s="102">
        <v>0.37</v>
      </c>
      <c r="I156" s="101">
        <v>0.37</v>
      </c>
      <c r="J156" s="28">
        <v>0.36</v>
      </c>
      <c r="K156" s="28">
        <v>0.35</v>
      </c>
      <c r="L156" s="28">
        <v>0.35</v>
      </c>
      <c r="M156" s="28">
        <v>0.34</v>
      </c>
      <c r="N156" s="101">
        <v>0.33</v>
      </c>
      <c r="O156" s="28">
        <v>0.31</v>
      </c>
      <c r="P156" s="28">
        <v>0.3</v>
      </c>
      <c r="Q156" s="28">
        <v>0.28999999999999998</v>
      </c>
      <c r="R156" s="102">
        <v>0.28000000000000003</v>
      </c>
    </row>
    <row r="157" spans="1:18" ht="18" customHeight="1" thickBot="1" x14ac:dyDescent="0.2">
      <c r="A157" s="106"/>
      <c r="B157" s="106" t="s">
        <v>447</v>
      </c>
      <c r="C157" s="105">
        <v>0.4</v>
      </c>
      <c r="D157" s="103">
        <v>0.38</v>
      </c>
      <c r="E157" s="104">
        <v>0.37</v>
      </c>
      <c r="F157" s="104">
        <v>0.37</v>
      </c>
      <c r="G157" s="104">
        <v>0.37</v>
      </c>
      <c r="H157" s="105">
        <v>0.37</v>
      </c>
      <c r="I157" s="103">
        <v>0.36</v>
      </c>
      <c r="J157" s="104">
        <v>0.35</v>
      </c>
      <c r="K157" s="112">
        <v>0.35</v>
      </c>
      <c r="L157" s="104">
        <v>0.34</v>
      </c>
      <c r="M157" s="104">
        <v>0.34</v>
      </c>
      <c r="N157" s="103">
        <v>0.32</v>
      </c>
      <c r="O157" s="104">
        <v>0.3</v>
      </c>
      <c r="P157" s="104">
        <v>0.28999999999999998</v>
      </c>
      <c r="Q157" s="104">
        <v>0.28000000000000003</v>
      </c>
      <c r="R157" s="105">
        <v>0.28000000000000003</v>
      </c>
    </row>
    <row r="158" spans="1:18" ht="18" customHeight="1" x14ac:dyDescent="0.15">
      <c r="A158" s="107" t="s">
        <v>447</v>
      </c>
      <c r="B158" s="107" t="s">
        <v>452</v>
      </c>
      <c r="C158" s="28">
        <v>0.49</v>
      </c>
      <c r="D158" s="98">
        <v>0.48</v>
      </c>
      <c r="E158" s="99">
        <v>0.47</v>
      </c>
      <c r="F158" s="99">
        <v>0.47</v>
      </c>
      <c r="G158" s="99">
        <v>0.47</v>
      </c>
      <c r="H158" s="100">
        <v>0.46</v>
      </c>
      <c r="I158" s="98">
        <v>0.46</v>
      </c>
      <c r="J158" s="99">
        <v>0.46</v>
      </c>
      <c r="K158" s="99">
        <v>0.45</v>
      </c>
      <c r="L158" s="99">
        <v>0.45</v>
      </c>
      <c r="M158" s="99">
        <v>0.45</v>
      </c>
      <c r="N158" s="98">
        <v>0.44</v>
      </c>
      <c r="O158" s="99">
        <v>0.42</v>
      </c>
      <c r="P158" s="99">
        <v>0.41</v>
      </c>
      <c r="Q158" s="99">
        <v>0.41</v>
      </c>
      <c r="R158" s="100">
        <v>0.4</v>
      </c>
    </row>
    <row r="159" spans="1:18" ht="18" customHeight="1" x14ac:dyDescent="0.15">
      <c r="A159" s="107"/>
      <c r="B159" s="107" t="s">
        <v>443</v>
      </c>
      <c r="C159" s="28">
        <v>0.44</v>
      </c>
      <c r="D159" s="101">
        <v>0.42</v>
      </c>
      <c r="E159" s="28">
        <v>0.41</v>
      </c>
      <c r="F159" s="28">
        <v>0.41</v>
      </c>
      <c r="G159" s="28">
        <v>0.41</v>
      </c>
      <c r="H159" s="102">
        <v>0.4</v>
      </c>
      <c r="I159" s="101">
        <v>0.4</v>
      </c>
      <c r="J159" s="28">
        <v>0.39</v>
      </c>
      <c r="K159" s="28">
        <v>0.39</v>
      </c>
      <c r="L159" s="28">
        <v>0.38</v>
      </c>
      <c r="M159" s="28">
        <v>0.38</v>
      </c>
      <c r="N159" s="101">
        <v>0.37</v>
      </c>
      <c r="O159" s="28">
        <v>0.35</v>
      </c>
      <c r="P159" s="28">
        <v>0.34</v>
      </c>
      <c r="Q159" s="28">
        <v>0.33</v>
      </c>
      <c r="R159" s="102">
        <v>0.32</v>
      </c>
    </row>
    <row r="160" spans="1:18" ht="18" customHeight="1" x14ac:dyDescent="0.15">
      <c r="A160" s="107"/>
      <c r="B160" s="107" t="s">
        <v>444</v>
      </c>
      <c r="C160" s="28">
        <v>0.42</v>
      </c>
      <c r="D160" s="101">
        <v>0.4</v>
      </c>
      <c r="E160" s="28">
        <v>0.39</v>
      </c>
      <c r="F160" s="28">
        <v>0.39</v>
      </c>
      <c r="G160" s="28">
        <v>0.38</v>
      </c>
      <c r="H160" s="102">
        <v>0.38</v>
      </c>
      <c r="I160" s="101">
        <v>0.38</v>
      </c>
      <c r="J160" s="28">
        <v>0.37</v>
      </c>
      <c r="K160" s="28">
        <v>0.37</v>
      </c>
      <c r="L160" s="28">
        <v>0.36</v>
      </c>
      <c r="M160" s="28">
        <v>0.36</v>
      </c>
      <c r="N160" s="101">
        <v>0.35</v>
      </c>
      <c r="O160" s="28">
        <v>0.33</v>
      </c>
      <c r="P160" s="28">
        <v>0.31</v>
      </c>
      <c r="Q160" s="28">
        <v>0.31</v>
      </c>
      <c r="R160" s="102">
        <v>0.3</v>
      </c>
    </row>
    <row r="161" spans="1:18" ht="18" customHeight="1" x14ac:dyDescent="0.15">
      <c r="A161" s="107"/>
      <c r="B161" s="107" t="s">
        <v>445</v>
      </c>
      <c r="C161" s="28">
        <v>0.41</v>
      </c>
      <c r="D161" s="101">
        <v>0.39</v>
      </c>
      <c r="E161" s="28">
        <v>0.38</v>
      </c>
      <c r="F161" s="28">
        <v>0.38</v>
      </c>
      <c r="G161" s="28">
        <v>0.37</v>
      </c>
      <c r="H161" s="102">
        <v>0.37</v>
      </c>
      <c r="I161" s="101">
        <v>0.37</v>
      </c>
      <c r="J161" s="28">
        <v>0.36</v>
      </c>
      <c r="K161" s="28">
        <v>0.35</v>
      </c>
      <c r="L161" s="28">
        <v>0.35</v>
      </c>
      <c r="M161" s="28">
        <v>0.35</v>
      </c>
      <c r="N161" s="101">
        <v>0.33</v>
      </c>
      <c r="O161" s="28">
        <v>0.31</v>
      </c>
      <c r="P161" s="28">
        <v>0.3</v>
      </c>
      <c r="Q161" s="28">
        <v>0.28999999999999998</v>
      </c>
      <c r="R161" s="102">
        <v>0.28999999999999998</v>
      </c>
    </row>
    <row r="162" spans="1:18" ht="18" customHeight="1" x14ac:dyDescent="0.15">
      <c r="A162" s="107"/>
      <c r="B162" s="107" t="s">
        <v>446</v>
      </c>
      <c r="C162" s="28">
        <v>0.4</v>
      </c>
      <c r="D162" s="101">
        <v>0.38</v>
      </c>
      <c r="E162" s="28">
        <v>0.37</v>
      </c>
      <c r="F162" s="28">
        <v>0.37</v>
      </c>
      <c r="G162" s="28">
        <v>0.37</v>
      </c>
      <c r="H162" s="102">
        <v>0.36</v>
      </c>
      <c r="I162" s="101">
        <v>0.36</v>
      </c>
      <c r="J162" s="28">
        <v>0.35</v>
      </c>
      <c r="K162" s="28">
        <v>0.35</v>
      </c>
      <c r="L162" s="28">
        <v>0.34</v>
      </c>
      <c r="M162" s="28">
        <v>0.34</v>
      </c>
      <c r="N162" s="101">
        <v>0.33</v>
      </c>
      <c r="O162" s="28">
        <v>0.3</v>
      </c>
      <c r="P162" s="28">
        <v>0.28999999999999998</v>
      </c>
      <c r="Q162" s="28">
        <v>0.28000000000000003</v>
      </c>
      <c r="R162" s="102">
        <v>0.28000000000000003</v>
      </c>
    </row>
    <row r="163" spans="1:18" ht="18" customHeight="1" thickBot="1" x14ac:dyDescent="0.2">
      <c r="A163" s="107"/>
      <c r="B163" s="107" t="s">
        <v>447</v>
      </c>
      <c r="C163" s="104">
        <v>0.39</v>
      </c>
      <c r="D163" s="103">
        <v>0.37</v>
      </c>
      <c r="E163" s="104">
        <v>0.37</v>
      </c>
      <c r="F163" s="104">
        <v>0.36</v>
      </c>
      <c r="G163" s="104">
        <v>0.36</v>
      </c>
      <c r="H163" s="105">
        <v>0.36</v>
      </c>
      <c r="I163" s="103">
        <v>0.35</v>
      </c>
      <c r="J163" s="104">
        <v>0.35</v>
      </c>
      <c r="K163" s="104">
        <v>0.34</v>
      </c>
      <c r="L163" s="104">
        <v>0.34</v>
      </c>
      <c r="M163" s="104">
        <v>0.33</v>
      </c>
      <c r="N163" s="103">
        <v>0.32</v>
      </c>
      <c r="O163" s="104">
        <v>0.3</v>
      </c>
      <c r="P163" s="104">
        <v>0.28999999999999998</v>
      </c>
      <c r="Q163" s="104">
        <v>0.28000000000000003</v>
      </c>
      <c r="R163" s="105">
        <v>0.27</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F94B5-0AEB-4C63-A842-3F8B129E165D}">
  <dimension ref="A1:T139"/>
  <sheetViews>
    <sheetView showGridLines="0" workbookViewId="0">
      <selection sqref="A1:J1"/>
    </sheetView>
  </sheetViews>
  <sheetFormatPr defaultRowHeight="18.75" x14ac:dyDescent="0.15"/>
  <cols>
    <col min="1" max="1" width="1" style="122" customWidth="1"/>
    <col min="2" max="2" width="1.5" style="119" customWidth="1"/>
    <col min="3" max="3" width="9" style="119"/>
    <col min="4" max="4" width="16" style="119" customWidth="1"/>
    <col min="5" max="5" width="8.125" style="119" customWidth="1"/>
    <col min="6" max="6" width="8.625" style="119" customWidth="1"/>
    <col min="7" max="7" width="8.125" style="119" customWidth="1"/>
    <col min="8" max="8" width="8.625" style="119" customWidth="1"/>
    <col min="9" max="9" width="8.125" style="119" customWidth="1"/>
    <col min="10" max="10" width="8.625" style="119" customWidth="1"/>
    <col min="11" max="11" width="8.125" style="122" customWidth="1"/>
    <col min="12" max="12" width="8.625" style="122" customWidth="1"/>
    <col min="13" max="13" width="0.625" style="122" customWidth="1"/>
    <col min="14" max="14" width="2.75" style="122" customWidth="1"/>
    <col min="15" max="15" width="63.25" style="121" customWidth="1"/>
  </cols>
  <sheetData>
    <row r="1" spans="1:20" ht="27" customHeight="1" thickTop="1" thickBot="1" x14ac:dyDescent="0.2">
      <c r="A1" s="317" t="s">
        <v>538</v>
      </c>
      <c r="B1" s="317"/>
      <c r="C1" s="317"/>
      <c r="D1" s="317"/>
      <c r="E1" s="317"/>
      <c r="F1" s="317"/>
      <c r="G1" s="317"/>
      <c r="H1" s="317"/>
      <c r="I1" s="317"/>
      <c r="J1" s="317"/>
      <c r="K1" s="324" t="s">
        <v>439</v>
      </c>
      <c r="L1" s="324"/>
      <c r="M1" s="116"/>
      <c r="N1" s="113"/>
      <c r="O1" s="117" t="s">
        <v>177</v>
      </c>
      <c r="P1" s="67"/>
      <c r="Q1" s="67"/>
      <c r="R1" s="67"/>
      <c r="S1" s="67"/>
      <c r="T1" s="67"/>
    </row>
    <row r="2" spans="1:20" s="3" customFormat="1" ht="4.5" customHeight="1" thickTop="1" thickBot="1" x14ac:dyDescent="0.2">
      <c r="A2" s="118"/>
      <c r="B2" s="119"/>
      <c r="C2" s="118"/>
      <c r="D2" s="118"/>
      <c r="E2" s="118"/>
      <c r="F2" s="118"/>
      <c r="G2" s="325"/>
      <c r="H2" s="325"/>
      <c r="I2" s="325"/>
      <c r="J2" s="325"/>
      <c r="K2" s="325"/>
      <c r="L2" s="119"/>
      <c r="M2" s="118"/>
      <c r="N2" s="309" t="s">
        <v>178</v>
      </c>
      <c r="O2" s="121"/>
      <c r="P2" s="68"/>
      <c r="Q2" s="68"/>
    </row>
    <row r="3" spans="1:20" s="2" customFormat="1" ht="18.75" customHeight="1" thickTop="1" thickBot="1" x14ac:dyDescent="0.2">
      <c r="A3" s="122"/>
      <c r="B3" s="318" t="s">
        <v>0</v>
      </c>
      <c r="C3" s="319"/>
      <c r="D3" s="320"/>
      <c r="E3" s="336"/>
      <c r="F3" s="336"/>
      <c r="G3" s="336"/>
      <c r="H3" s="336"/>
      <c r="I3" s="336"/>
      <c r="J3" s="336"/>
      <c r="K3" s="336"/>
      <c r="L3" s="336"/>
      <c r="M3" s="122"/>
      <c r="N3" s="309"/>
      <c r="O3" s="123" t="s">
        <v>399</v>
      </c>
    </row>
    <row r="4" spans="1:20" s="2" customFormat="1" ht="19.5" customHeight="1" thickTop="1" x14ac:dyDescent="0.15">
      <c r="A4" s="122"/>
      <c r="B4" s="328" t="s">
        <v>185</v>
      </c>
      <c r="C4" s="329"/>
      <c r="D4" s="330"/>
      <c r="E4" s="124" t="s">
        <v>168</v>
      </c>
      <c r="F4" s="31"/>
      <c r="G4" s="124" t="s">
        <v>169</v>
      </c>
      <c r="H4" s="31"/>
      <c r="I4" s="124" t="s">
        <v>170</v>
      </c>
      <c r="J4" s="31"/>
      <c r="K4" s="124" t="s">
        <v>171</v>
      </c>
      <c r="L4" s="31"/>
      <c r="M4" s="122"/>
      <c r="N4" s="309" t="s">
        <v>178</v>
      </c>
      <c r="O4" s="326" t="s">
        <v>176</v>
      </c>
    </row>
    <row r="5" spans="1:20" s="3" customFormat="1" ht="19.5" customHeight="1" thickBot="1" x14ac:dyDescent="0.2">
      <c r="A5" s="118"/>
      <c r="B5" s="331"/>
      <c r="C5" s="332"/>
      <c r="D5" s="333"/>
      <c r="E5" s="124" t="s">
        <v>172</v>
      </c>
      <c r="F5" s="31"/>
      <c r="G5" s="124" t="s">
        <v>173</v>
      </c>
      <c r="H5" s="31"/>
      <c r="I5" s="124" t="s">
        <v>174</v>
      </c>
      <c r="J5" s="31"/>
      <c r="K5" s="124" t="s">
        <v>175</v>
      </c>
      <c r="L5" s="31"/>
      <c r="M5" s="118"/>
      <c r="N5" s="309"/>
      <c r="O5" s="327"/>
      <c r="P5" s="68"/>
      <c r="Q5" s="68"/>
    </row>
    <row r="6" spans="1:20" s="3" customFormat="1" ht="22.5" customHeight="1" thickTop="1" x14ac:dyDescent="0.15">
      <c r="A6" s="118"/>
      <c r="B6" s="334" t="s">
        <v>526</v>
      </c>
      <c r="C6" s="334"/>
      <c r="D6" s="334"/>
      <c r="E6" s="334"/>
      <c r="F6" s="334"/>
      <c r="G6" s="334"/>
      <c r="H6" s="334"/>
      <c r="I6" s="334"/>
      <c r="J6" s="334"/>
      <c r="K6" s="334"/>
      <c r="L6" s="334"/>
      <c r="M6" s="118"/>
      <c r="N6" s="118"/>
      <c r="O6" s="121"/>
      <c r="P6" s="68"/>
      <c r="Q6" s="68"/>
    </row>
    <row r="7" spans="1:20" s="3" customFormat="1" ht="9.75" hidden="1" customHeight="1" thickTop="1" x14ac:dyDescent="0.15">
      <c r="A7" s="118"/>
      <c r="B7" s="119"/>
      <c r="C7" s="118"/>
      <c r="D7" s="118"/>
      <c r="E7" s="118"/>
      <c r="F7" s="118"/>
      <c r="G7" s="325"/>
      <c r="H7" s="325"/>
      <c r="I7" s="325"/>
      <c r="J7" s="325"/>
      <c r="K7" s="325"/>
      <c r="L7" s="119"/>
      <c r="M7" s="118"/>
      <c r="N7" s="118"/>
      <c r="O7" s="306" t="s">
        <v>472</v>
      </c>
      <c r="P7" s="68"/>
      <c r="Q7" s="68"/>
    </row>
    <row r="8" spans="1:20" ht="41.25" hidden="1" customHeight="1" x14ac:dyDescent="0.15">
      <c r="C8" s="119" t="s">
        <v>18</v>
      </c>
      <c r="H8" s="125" t="s">
        <v>167</v>
      </c>
      <c r="I8" s="125" t="s">
        <v>1</v>
      </c>
      <c r="J8" s="125" t="s">
        <v>15</v>
      </c>
      <c r="K8" s="125" t="s">
        <v>16</v>
      </c>
      <c r="L8" s="126"/>
      <c r="O8" s="307"/>
    </row>
    <row r="9" spans="1:20" ht="19.5" hidden="1" customHeight="1" thickBot="1" x14ac:dyDescent="0.2">
      <c r="C9" s="127"/>
      <c r="D9" s="127"/>
      <c r="E9" s="127"/>
      <c r="F9" s="127"/>
      <c r="G9" s="125" t="s">
        <v>2</v>
      </c>
      <c r="H9" s="128">
        <v>0.83</v>
      </c>
      <c r="I9" s="128">
        <v>0.17</v>
      </c>
      <c r="J9" s="129"/>
      <c r="K9" s="129"/>
      <c r="L9" s="130"/>
      <c r="N9" s="120" t="s">
        <v>178</v>
      </c>
      <c r="O9" s="308"/>
    </row>
    <row r="10" spans="1:20" ht="36" hidden="1" customHeight="1" thickTop="1" x14ac:dyDescent="0.15">
      <c r="C10" s="314" t="s">
        <v>3</v>
      </c>
      <c r="D10" s="315"/>
      <c r="E10" s="316"/>
      <c r="F10" s="125" t="s">
        <v>5</v>
      </c>
      <c r="G10" s="131" t="s">
        <v>4</v>
      </c>
      <c r="H10" s="125" t="s">
        <v>19</v>
      </c>
      <c r="I10" s="125" t="s">
        <v>19</v>
      </c>
      <c r="J10" s="125" t="s">
        <v>19</v>
      </c>
      <c r="K10" s="125" t="s">
        <v>19</v>
      </c>
      <c r="L10" s="126"/>
      <c r="N10" s="132"/>
      <c r="O10" s="306" t="s">
        <v>268</v>
      </c>
    </row>
    <row r="11" spans="1:20" ht="18.75" hidden="1" customHeight="1" thickBot="1" x14ac:dyDescent="0.2">
      <c r="C11" s="337" t="s">
        <v>6</v>
      </c>
      <c r="D11" s="338"/>
      <c r="E11" s="339"/>
      <c r="F11" s="133"/>
      <c r="G11" s="134"/>
      <c r="H11" s="135">
        <v>0.11</v>
      </c>
      <c r="I11" s="135">
        <v>0.11</v>
      </c>
      <c r="J11" s="136"/>
      <c r="K11" s="136"/>
      <c r="L11" s="127"/>
      <c r="N11" s="120" t="s">
        <v>178</v>
      </c>
      <c r="O11" s="308"/>
    </row>
    <row r="12" spans="1:20" ht="18.75" hidden="1" customHeight="1" thickTop="1" x14ac:dyDescent="0.15">
      <c r="C12" s="321" t="s">
        <v>7</v>
      </c>
      <c r="D12" s="322"/>
      <c r="E12" s="323"/>
      <c r="F12" s="137">
        <v>0.16</v>
      </c>
      <c r="G12" s="138">
        <v>12</v>
      </c>
      <c r="H12" s="139">
        <f>$G12/1000/$F12</f>
        <v>7.4999999999999997E-2</v>
      </c>
      <c r="I12" s="139">
        <f>$G12/1000/$F12</f>
        <v>7.4999999999999997E-2</v>
      </c>
      <c r="J12" s="140"/>
      <c r="K12" s="140"/>
      <c r="L12" s="127"/>
      <c r="N12" s="309" t="s">
        <v>178</v>
      </c>
      <c r="O12" s="306" t="s">
        <v>500</v>
      </c>
    </row>
    <row r="13" spans="1:20" ht="18.75" hidden="1" customHeight="1" x14ac:dyDescent="0.15">
      <c r="C13" s="321" t="s">
        <v>8</v>
      </c>
      <c r="D13" s="322"/>
      <c r="E13" s="323"/>
      <c r="F13" s="137">
        <v>4.4999999999999998E-2</v>
      </c>
      <c r="G13" s="138">
        <v>100</v>
      </c>
      <c r="H13" s="139">
        <f>$G13/1000/$F13</f>
        <v>2.2222222222222223</v>
      </c>
      <c r="I13" s="141"/>
      <c r="J13" s="140"/>
      <c r="K13" s="140"/>
      <c r="L13" s="127"/>
      <c r="N13" s="309"/>
      <c r="O13" s="307"/>
    </row>
    <row r="14" spans="1:20" ht="18.75" hidden="1" customHeight="1" x14ac:dyDescent="0.15">
      <c r="C14" s="321" t="s">
        <v>9</v>
      </c>
      <c r="D14" s="322"/>
      <c r="E14" s="323"/>
      <c r="F14" s="137">
        <v>0.12</v>
      </c>
      <c r="G14" s="138">
        <v>100</v>
      </c>
      <c r="H14" s="141"/>
      <c r="I14" s="139">
        <f>$G14/1000/$F14</f>
        <v>0.83333333333333337</v>
      </c>
      <c r="J14" s="140"/>
      <c r="K14" s="140"/>
      <c r="L14" s="127"/>
      <c r="N14" s="309"/>
      <c r="O14" s="307"/>
    </row>
    <row r="15" spans="1:20" ht="18.75" hidden="1" customHeight="1" thickBot="1" x14ac:dyDescent="0.2">
      <c r="C15" s="321" t="s">
        <v>162</v>
      </c>
      <c r="D15" s="322"/>
      <c r="E15" s="323"/>
      <c r="F15" s="137">
        <v>0.22</v>
      </c>
      <c r="G15" s="138">
        <v>12.5</v>
      </c>
      <c r="H15" s="139">
        <f>$G15/1000/$F15</f>
        <v>5.6818181818181823E-2</v>
      </c>
      <c r="I15" s="139">
        <f>$G15/1000/$F15</f>
        <v>5.6818181818181823E-2</v>
      </c>
      <c r="J15" s="140"/>
      <c r="K15" s="140"/>
      <c r="L15" s="127"/>
      <c r="N15" s="309"/>
      <c r="O15" s="308"/>
    </row>
    <row r="16" spans="1:20" ht="18.75" hidden="1" customHeight="1" thickTop="1" thickBot="1" x14ac:dyDescent="0.2">
      <c r="C16" s="335" t="s">
        <v>10</v>
      </c>
      <c r="D16" s="335"/>
      <c r="E16" s="335"/>
      <c r="F16" s="142"/>
      <c r="G16" s="143"/>
      <c r="H16" s="144">
        <v>0.11</v>
      </c>
      <c r="I16" s="144">
        <v>0.11</v>
      </c>
      <c r="J16" s="145"/>
      <c r="K16" s="145"/>
      <c r="L16" s="127"/>
      <c r="O16" s="306" t="s">
        <v>278</v>
      </c>
    </row>
    <row r="17" spans="3:16" ht="18.75" hidden="1" customHeight="1" thickTop="1" x14ac:dyDescent="0.15">
      <c r="D17" s="146"/>
      <c r="E17" s="304" t="s">
        <v>11</v>
      </c>
      <c r="F17" s="304"/>
      <c r="G17" s="304"/>
      <c r="H17" s="148">
        <f>SUM(H11:H16)</f>
        <v>2.5740404040404039</v>
      </c>
      <c r="I17" s="149">
        <f>SUM(I11:I16)</f>
        <v>1.1851515151515153</v>
      </c>
      <c r="J17" s="149">
        <f>SUM(J11:J16)</f>
        <v>0</v>
      </c>
      <c r="K17" s="149">
        <f>SUM(K11:K16)</f>
        <v>0</v>
      </c>
      <c r="L17" s="150"/>
      <c r="N17" s="309" t="s">
        <v>178</v>
      </c>
      <c r="O17" s="307"/>
    </row>
    <row r="18" spans="3:16" ht="18.75" hidden="1" customHeight="1" thickBot="1" x14ac:dyDescent="0.2">
      <c r="D18" s="151"/>
      <c r="E18" s="304" t="s">
        <v>12</v>
      </c>
      <c r="F18" s="304"/>
      <c r="G18" s="304"/>
      <c r="H18" s="152">
        <f>IF(H17&gt;0,1/H17,0)</f>
        <v>0.38849429031118787</v>
      </c>
      <c r="I18" s="153">
        <f t="shared" ref="I18:K18" si="0">IF(I17&gt;0,1/I17,0)</f>
        <v>0.84377397085144457</v>
      </c>
      <c r="J18" s="153">
        <f t="shared" si="0"/>
        <v>0</v>
      </c>
      <c r="K18" s="153">
        <f t="shared" si="0"/>
        <v>0</v>
      </c>
      <c r="L18" s="150"/>
      <c r="N18" s="309"/>
      <c r="O18" s="308"/>
    </row>
    <row r="19" spans="3:16" ht="22.5" hidden="1" customHeight="1" thickTop="1" thickBot="1" x14ac:dyDescent="0.2">
      <c r="D19" s="151"/>
      <c r="E19" s="287" t="s">
        <v>230</v>
      </c>
      <c r="F19" s="287"/>
      <c r="G19" s="288"/>
      <c r="H19" s="154">
        <f>IF(SUM(H9:K9)&gt;0,(H18*H9+I18*I9+J18*J9+K18*K9)/SUM(H9:K9),0)</f>
        <v>0.46589183600303152</v>
      </c>
      <c r="I19" s="150"/>
      <c r="J19" s="150"/>
      <c r="K19" s="150"/>
      <c r="L19" s="150"/>
      <c r="N19" s="120" t="s">
        <v>178</v>
      </c>
      <c r="O19" s="306" t="s">
        <v>471</v>
      </c>
    </row>
    <row r="20" spans="3:16" ht="5.25" hidden="1" customHeight="1" thickBot="1" x14ac:dyDescent="0.2">
      <c r="D20" s="151"/>
      <c r="O20" s="308"/>
    </row>
    <row r="21" spans="3:16" ht="18.75" customHeight="1" x14ac:dyDescent="0.15">
      <c r="C21" s="155" t="s">
        <v>17</v>
      </c>
      <c r="D21" s="151"/>
      <c r="H21" s="125" t="s">
        <v>13</v>
      </c>
      <c r="I21" s="125" t="s">
        <v>14</v>
      </c>
      <c r="J21" s="125" t="s">
        <v>15</v>
      </c>
      <c r="K21" s="125" t="s">
        <v>16</v>
      </c>
      <c r="L21" s="126"/>
      <c r="N21" s="341"/>
      <c r="O21" s="340"/>
    </row>
    <row r="22" spans="3:16" ht="18.75" customHeight="1" x14ac:dyDescent="0.15">
      <c r="G22" s="131" t="s">
        <v>2</v>
      </c>
      <c r="H22" s="12"/>
      <c r="I22" s="12"/>
      <c r="J22" s="12"/>
      <c r="K22" s="12"/>
      <c r="L22" s="130"/>
      <c r="N22" s="341"/>
      <c r="O22" s="340"/>
    </row>
    <row r="23" spans="3:16" ht="33.75" customHeight="1" thickBot="1" x14ac:dyDescent="0.2">
      <c r="C23" s="314" t="s">
        <v>3</v>
      </c>
      <c r="D23" s="315"/>
      <c r="E23" s="316"/>
      <c r="F23" s="125" t="s">
        <v>5</v>
      </c>
      <c r="G23" s="131" t="s">
        <v>4</v>
      </c>
      <c r="H23" s="125" t="s">
        <v>19</v>
      </c>
      <c r="I23" s="125" t="s">
        <v>19</v>
      </c>
      <c r="J23" s="125" t="s">
        <v>19</v>
      </c>
      <c r="K23" s="125" t="s">
        <v>19</v>
      </c>
      <c r="L23" s="126"/>
    </row>
    <row r="24" spans="3:16" ht="18.75" customHeight="1" thickTop="1" x14ac:dyDescent="0.15">
      <c r="C24" s="295"/>
      <c r="D24" s="296"/>
      <c r="E24" s="297"/>
      <c r="F24" s="14"/>
      <c r="G24" s="15"/>
      <c r="H24" s="16"/>
      <c r="I24" s="16"/>
      <c r="J24" s="16"/>
      <c r="K24" s="16"/>
      <c r="L24" s="150"/>
      <c r="N24" s="310" t="s">
        <v>178</v>
      </c>
      <c r="O24" s="311" t="s">
        <v>518</v>
      </c>
    </row>
    <row r="25" spans="3:16" ht="18.75" customHeight="1" x14ac:dyDescent="0.15">
      <c r="C25" s="298"/>
      <c r="D25" s="299"/>
      <c r="E25" s="300"/>
      <c r="F25" s="17"/>
      <c r="G25" s="18"/>
      <c r="H25" s="19"/>
      <c r="I25" s="19"/>
      <c r="J25" s="19"/>
      <c r="K25" s="19"/>
      <c r="L25" s="150"/>
      <c r="N25" s="310"/>
      <c r="O25" s="312"/>
    </row>
    <row r="26" spans="3:16" ht="18.75" customHeight="1" thickBot="1" x14ac:dyDescent="0.2">
      <c r="C26" s="298"/>
      <c r="D26" s="299"/>
      <c r="E26" s="300"/>
      <c r="F26" s="17"/>
      <c r="G26" s="18"/>
      <c r="H26" s="19"/>
      <c r="I26" s="19"/>
      <c r="J26" s="19"/>
      <c r="K26" s="19"/>
      <c r="L26" s="150"/>
      <c r="N26" s="310"/>
      <c r="O26" s="313"/>
    </row>
    <row r="27" spans="3:16" ht="18.75" customHeight="1" thickTop="1" x14ac:dyDescent="0.15">
      <c r="C27" s="298"/>
      <c r="D27" s="299"/>
      <c r="E27" s="300"/>
      <c r="F27" s="17"/>
      <c r="G27" s="18"/>
      <c r="H27" s="19"/>
      <c r="I27" s="19"/>
      <c r="J27" s="19"/>
      <c r="K27" s="19"/>
      <c r="L27" s="150"/>
      <c r="O27" s="306" t="s">
        <v>493</v>
      </c>
    </row>
    <row r="28" spans="3:16" ht="18.75" customHeight="1" x14ac:dyDescent="0.15">
      <c r="C28" s="298"/>
      <c r="D28" s="299"/>
      <c r="E28" s="300"/>
      <c r="F28" s="17"/>
      <c r="G28" s="18"/>
      <c r="H28" s="19"/>
      <c r="I28" s="19"/>
      <c r="J28" s="19"/>
      <c r="K28" s="19"/>
      <c r="L28" s="150"/>
      <c r="O28" s="307"/>
    </row>
    <row r="29" spans="3:16" ht="18.75" customHeight="1" thickBot="1" x14ac:dyDescent="0.2">
      <c r="C29" s="298"/>
      <c r="D29" s="299"/>
      <c r="E29" s="300"/>
      <c r="F29" s="17"/>
      <c r="G29" s="18"/>
      <c r="H29" s="19"/>
      <c r="I29" s="19"/>
      <c r="J29" s="19"/>
      <c r="K29" s="19"/>
      <c r="L29" s="150"/>
      <c r="O29" s="308"/>
    </row>
    <row r="30" spans="3:16" ht="18.75" customHeight="1" thickTop="1" x14ac:dyDescent="0.15">
      <c r="C30" s="298"/>
      <c r="D30" s="299"/>
      <c r="E30" s="300"/>
      <c r="F30" s="17"/>
      <c r="G30" s="18"/>
      <c r="H30" s="19"/>
      <c r="I30" s="19"/>
      <c r="J30" s="19"/>
      <c r="K30" s="19"/>
      <c r="L30" s="150"/>
      <c r="P30" s="27"/>
    </row>
    <row r="31" spans="3:16" ht="18.75" customHeight="1" thickBot="1" x14ac:dyDescent="0.2">
      <c r="C31" s="301"/>
      <c r="D31" s="302"/>
      <c r="E31" s="303"/>
      <c r="F31" s="20"/>
      <c r="G31" s="21"/>
      <c r="H31" s="22"/>
      <c r="I31" s="22"/>
      <c r="J31" s="22"/>
      <c r="K31" s="22"/>
      <c r="L31" s="150"/>
    </row>
    <row r="32" spans="3:16" ht="18.75" customHeight="1" thickTop="1" thickBot="1" x14ac:dyDescent="0.2">
      <c r="D32" s="146"/>
      <c r="E32" s="304" t="s">
        <v>11</v>
      </c>
      <c r="F32" s="304"/>
      <c r="G32" s="304"/>
      <c r="H32" s="158">
        <f>SUM(H24:H31)</f>
        <v>0</v>
      </c>
      <c r="I32" s="158">
        <f>SUM(I24:I31)</f>
        <v>0</v>
      </c>
      <c r="J32" s="158">
        <f>SUM(J24:J31)</f>
        <v>0</v>
      </c>
      <c r="K32" s="158">
        <f>SUM(K24:K31)</f>
        <v>0</v>
      </c>
      <c r="L32" s="150"/>
    </row>
    <row r="33" spans="3:15" ht="18.75" customHeight="1" thickTop="1" thickBot="1" x14ac:dyDescent="0.2">
      <c r="D33" s="146"/>
      <c r="E33" s="304" t="s">
        <v>12</v>
      </c>
      <c r="F33" s="304"/>
      <c r="G33" s="304"/>
      <c r="H33" s="159">
        <f>IF(H32&gt;0,1/H32,0)</f>
        <v>0</v>
      </c>
      <c r="I33" s="160">
        <f t="shared" ref="I33:K33" si="1">IF(I32&gt;0,1/I32,0)</f>
        <v>0</v>
      </c>
      <c r="J33" s="160">
        <f t="shared" si="1"/>
        <v>0</v>
      </c>
      <c r="K33" s="160">
        <f t="shared" si="1"/>
        <v>0</v>
      </c>
      <c r="L33" s="150"/>
      <c r="O33" s="306" t="s">
        <v>467</v>
      </c>
    </row>
    <row r="34" spans="3:15" ht="22.5" customHeight="1" thickTop="1" thickBot="1" x14ac:dyDescent="0.2">
      <c r="D34" s="161"/>
      <c r="E34" s="287" t="s">
        <v>230</v>
      </c>
      <c r="F34" s="287"/>
      <c r="G34" s="288"/>
      <c r="H34" s="162">
        <f>IF(SUM(H22:K22)&gt;0,(H33*H22+I33*I22+J33*J22+K33*K22)/SUM(H22:K22),0)</f>
        <v>0</v>
      </c>
      <c r="I34" s="150" t="s">
        <v>423</v>
      </c>
      <c r="J34" s="150"/>
      <c r="K34" s="150"/>
      <c r="L34" s="150"/>
      <c r="N34" s="120" t="s">
        <v>178</v>
      </c>
      <c r="O34" s="308"/>
    </row>
    <row r="35" spans="3:15" ht="5.25" customHeight="1" thickTop="1" thickBot="1" x14ac:dyDescent="0.2">
      <c r="K35" s="119"/>
      <c r="L35" s="119"/>
    </row>
    <row r="36" spans="3:15" ht="18.75" customHeight="1" thickTop="1" x14ac:dyDescent="0.15">
      <c r="C36" s="155" t="s">
        <v>161</v>
      </c>
      <c r="D36" s="151"/>
      <c r="F36" s="127"/>
      <c r="G36" s="127"/>
      <c r="H36" s="125" t="s">
        <v>13</v>
      </c>
      <c r="I36" s="125" t="s">
        <v>14</v>
      </c>
      <c r="J36" s="125" t="s">
        <v>15</v>
      </c>
      <c r="K36" s="125" t="s">
        <v>16</v>
      </c>
      <c r="L36" s="126"/>
      <c r="N36" s="120" t="s">
        <v>178</v>
      </c>
      <c r="O36" s="306" t="s">
        <v>179</v>
      </c>
    </row>
    <row r="37" spans="3:15" ht="18.75" customHeight="1" thickBot="1" x14ac:dyDescent="0.2">
      <c r="C37" s="127"/>
      <c r="D37" s="127"/>
      <c r="E37" s="127"/>
      <c r="F37" s="127"/>
      <c r="G37" s="125" t="s">
        <v>2</v>
      </c>
      <c r="H37" s="12"/>
      <c r="I37" s="12"/>
      <c r="J37" s="12"/>
      <c r="K37" s="12"/>
      <c r="L37" s="130"/>
      <c r="N37" s="163"/>
      <c r="O37" s="308"/>
    </row>
    <row r="38" spans="3:15" ht="33.75" customHeight="1" thickTop="1" thickBot="1" x14ac:dyDescent="0.2">
      <c r="C38" s="314" t="s">
        <v>3</v>
      </c>
      <c r="D38" s="315"/>
      <c r="E38" s="316"/>
      <c r="F38" s="125" t="s">
        <v>5</v>
      </c>
      <c r="G38" s="131" t="s">
        <v>4</v>
      </c>
      <c r="H38" s="125" t="s">
        <v>19</v>
      </c>
      <c r="I38" s="125" t="s">
        <v>19</v>
      </c>
      <c r="J38" s="125" t="s">
        <v>19</v>
      </c>
      <c r="K38" s="125" t="s">
        <v>19</v>
      </c>
      <c r="L38" s="126"/>
    </row>
    <row r="39" spans="3:15" ht="18.75" customHeight="1" thickTop="1" x14ac:dyDescent="0.15">
      <c r="C39" s="295"/>
      <c r="D39" s="296"/>
      <c r="E39" s="297"/>
      <c r="F39" s="14"/>
      <c r="G39" s="15"/>
      <c r="H39" s="16"/>
      <c r="I39" s="16"/>
      <c r="J39" s="16"/>
      <c r="K39" s="16"/>
      <c r="L39" s="150"/>
      <c r="N39" s="310" t="s">
        <v>178</v>
      </c>
      <c r="O39" s="311" t="s">
        <v>519</v>
      </c>
    </row>
    <row r="40" spans="3:15" ht="18.75" customHeight="1" x14ac:dyDescent="0.15">
      <c r="C40" s="298"/>
      <c r="D40" s="299"/>
      <c r="E40" s="300"/>
      <c r="F40" s="17"/>
      <c r="G40" s="18"/>
      <c r="H40" s="19"/>
      <c r="I40" s="19"/>
      <c r="J40" s="19"/>
      <c r="K40" s="19"/>
      <c r="L40" s="150"/>
      <c r="N40" s="310"/>
      <c r="O40" s="312"/>
    </row>
    <row r="41" spans="3:15" ht="18.75" customHeight="1" thickBot="1" x14ac:dyDescent="0.2">
      <c r="C41" s="298"/>
      <c r="D41" s="299"/>
      <c r="E41" s="300"/>
      <c r="F41" s="17"/>
      <c r="G41" s="18"/>
      <c r="H41" s="19"/>
      <c r="I41" s="19"/>
      <c r="J41" s="19"/>
      <c r="K41" s="19"/>
      <c r="L41" s="150"/>
      <c r="N41" s="310"/>
      <c r="O41" s="313"/>
    </row>
    <row r="42" spans="3:15" ht="18.75" customHeight="1" thickTop="1" x14ac:dyDescent="0.15">
      <c r="C42" s="298"/>
      <c r="D42" s="299"/>
      <c r="E42" s="300"/>
      <c r="F42" s="17"/>
      <c r="G42" s="18"/>
      <c r="H42" s="19"/>
      <c r="I42" s="19"/>
      <c r="J42" s="19"/>
      <c r="K42" s="19"/>
      <c r="L42" s="150"/>
    </row>
    <row r="43" spans="3:15" ht="18.75" customHeight="1" x14ac:dyDescent="0.15">
      <c r="C43" s="298"/>
      <c r="D43" s="299"/>
      <c r="E43" s="300"/>
      <c r="F43" s="17"/>
      <c r="G43" s="18"/>
      <c r="H43" s="19"/>
      <c r="I43" s="19"/>
      <c r="J43" s="19"/>
      <c r="K43" s="19"/>
      <c r="L43" s="150"/>
    </row>
    <row r="44" spans="3:15" ht="18.75" customHeight="1" thickBot="1" x14ac:dyDescent="0.2">
      <c r="C44" s="301"/>
      <c r="D44" s="302"/>
      <c r="E44" s="303"/>
      <c r="F44" s="20"/>
      <c r="G44" s="21"/>
      <c r="H44" s="22"/>
      <c r="I44" s="22"/>
      <c r="J44" s="22"/>
      <c r="K44" s="22"/>
      <c r="L44" s="150"/>
    </row>
    <row r="45" spans="3:15" ht="18.75" customHeight="1" thickTop="1" thickBot="1" x14ac:dyDescent="0.2">
      <c r="D45" s="146"/>
      <c r="E45" s="304" t="s">
        <v>11</v>
      </c>
      <c r="F45" s="304"/>
      <c r="G45" s="304"/>
      <c r="H45" s="160">
        <f>SUM(H39:H44)</f>
        <v>0</v>
      </c>
      <c r="I45" s="160">
        <f>SUM(I39:I44)</f>
        <v>0</v>
      </c>
      <c r="J45" s="160">
        <f>SUM(J39:J44)</f>
        <v>0</v>
      </c>
      <c r="K45" s="160">
        <f>SUM(K39:K44)</f>
        <v>0</v>
      </c>
      <c r="L45" s="150"/>
    </row>
    <row r="46" spans="3:15" ht="18.75" customHeight="1" thickTop="1" thickBot="1" x14ac:dyDescent="0.2">
      <c r="D46" s="146"/>
      <c r="E46" s="304" t="s">
        <v>12</v>
      </c>
      <c r="F46" s="304"/>
      <c r="G46" s="304"/>
      <c r="H46" s="159">
        <f>IF(H45&gt;0,1/H45,0)</f>
        <v>0</v>
      </c>
      <c r="I46" s="160">
        <f t="shared" ref="I46:K46" si="2">IF(I45&gt;0,1/I45,0)</f>
        <v>0</v>
      </c>
      <c r="J46" s="160">
        <f t="shared" si="2"/>
        <v>0</v>
      </c>
      <c r="K46" s="160">
        <f t="shared" si="2"/>
        <v>0</v>
      </c>
      <c r="L46" s="150"/>
      <c r="O46" s="306" t="s">
        <v>466</v>
      </c>
    </row>
    <row r="47" spans="3:15" ht="22.5" customHeight="1" thickTop="1" thickBot="1" x14ac:dyDescent="0.2">
      <c r="D47" s="161"/>
      <c r="E47" s="287" t="s">
        <v>230</v>
      </c>
      <c r="F47" s="287"/>
      <c r="G47" s="288"/>
      <c r="H47" s="162">
        <f>IF(SUM(H37:K37)&gt;0,(H46*H37+I46*I37+J46*J37+K46*K37)/SUM(H37:K37),0)</f>
        <v>0</v>
      </c>
      <c r="I47" s="150" t="s">
        <v>423</v>
      </c>
      <c r="J47" s="150"/>
      <c r="K47" s="150"/>
      <c r="L47" s="150"/>
      <c r="N47" s="120" t="s">
        <v>178</v>
      </c>
      <c r="O47" s="308"/>
    </row>
    <row r="48" spans="3:15" ht="5.25" customHeight="1" thickTop="1" thickBot="1" x14ac:dyDescent="0.2">
      <c r="K48" s="119"/>
      <c r="L48" s="119"/>
    </row>
    <row r="49" spans="3:15" ht="18.75" customHeight="1" thickTop="1" x14ac:dyDescent="0.15">
      <c r="C49" s="155" t="s">
        <v>160</v>
      </c>
      <c r="D49" s="151"/>
      <c r="H49" s="131" t="s">
        <v>13</v>
      </c>
      <c r="I49" s="131" t="s">
        <v>14</v>
      </c>
      <c r="J49" s="131" t="s">
        <v>15</v>
      </c>
      <c r="K49" s="131" t="s">
        <v>16</v>
      </c>
      <c r="L49" s="164"/>
      <c r="N49" s="120" t="s">
        <v>178</v>
      </c>
      <c r="O49" s="306" t="s">
        <v>468</v>
      </c>
    </row>
    <row r="50" spans="3:15" ht="18.75" customHeight="1" thickBot="1" x14ac:dyDescent="0.2">
      <c r="G50" s="131" t="s">
        <v>2</v>
      </c>
      <c r="H50" s="12"/>
      <c r="I50" s="12"/>
      <c r="J50" s="12"/>
      <c r="K50" s="12"/>
      <c r="L50" s="130"/>
      <c r="N50" s="163"/>
      <c r="O50" s="308"/>
    </row>
    <row r="51" spans="3:15" ht="33.75" customHeight="1" thickTop="1" thickBot="1" x14ac:dyDescent="0.2">
      <c r="C51" s="314" t="s">
        <v>3</v>
      </c>
      <c r="D51" s="315"/>
      <c r="E51" s="316"/>
      <c r="F51" s="125" t="s">
        <v>5</v>
      </c>
      <c r="G51" s="131" t="s">
        <v>4</v>
      </c>
      <c r="H51" s="125" t="s">
        <v>19</v>
      </c>
      <c r="I51" s="125" t="s">
        <v>19</v>
      </c>
      <c r="J51" s="125" t="s">
        <v>19</v>
      </c>
      <c r="K51" s="125" t="s">
        <v>19</v>
      </c>
      <c r="L51" s="126"/>
    </row>
    <row r="52" spans="3:15" ht="18.75" customHeight="1" thickTop="1" x14ac:dyDescent="0.15">
      <c r="C52" s="295"/>
      <c r="D52" s="296"/>
      <c r="E52" s="297"/>
      <c r="F52" s="14"/>
      <c r="G52" s="15"/>
      <c r="H52" s="16"/>
      <c r="I52" s="16"/>
      <c r="J52" s="16"/>
      <c r="K52" s="16"/>
      <c r="L52" s="150"/>
      <c r="N52" s="310" t="s">
        <v>178</v>
      </c>
      <c r="O52" s="311" t="s">
        <v>520</v>
      </c>
    </row>
    <row r="53" spans="3:15" ht="18.75" customHeight="1" x14ac:dyDescent="0.15">
      <c r="C53" s="298"/>
      <c r="D53" s="299"/>
      <c r="E53" s="300"/>
      <c r="F53" s="17"/>
      <c r="G53" s="18"/>
      <c r="H53" s="19"/>
      <c r="I53" s="19"/>
      <c r="J53" s="19"/>
      <c r="K53" s="19"/>
      <c r="L53" s="150"/>
      <c r="N53" s="310"/>
      <c r="O53" s="312"/>
    </row>
    <row r="54" spans="3:15" ht="18.75" customHeight="1" thickBot="1" x14ac:dyDescent="0.2">
      <c r="C54" s="298"/>
      <c r="D54" s="299"/>
      <c r="E54" s="300"/>
      <c r="F54" s="17"/>
      <c r="G54" s="18"/>
      <c r="H54" s="19"/>
      <c r="I54" s="19"/>
      <c r="J54" s="19"/>
      <c r="K54" s="19"/>
      <c r="L54" s="150"/>
      <c r="N54" s="310"/>
      <c r="O54" s="313"/>
    </row>
    <row r="55" spans="3:15" ht="18.75" customHeight="1" thickTop="1" x14ac:dyDescent="0.15">
      <c r="C55" s="298"/>
      <c r="D55" s="299"/>
      <c r="E55" s="300"/>
      <c r="F55" s="17"/>
      <c r="G55" s="18"/>
      <c r="H55" s="19"/>
      <c r="I55" s="19"/>
      <c r="J55" s="19"/>
      <c r="K55" s="19"/>
      <c r="L55" s="150"/>
    </row>
    <row r="56" spans="3:15" ht="18.75" customHeight="1" x14ac:dyDescent="0.15">
      <c r="C56" s="298"/>
      <c r="D56" s="299"/>
      <c r="E56" s="300"/>
      <c r="F56" s="17"/>
      <c r="G56" s="18"/>
      <c r="H56" s="19"/>
      <c r="I56" s="19"/>
      <c r="J56" s="19"/>
      <c r="K56" s="19"/>
      <c r="L56" s="150"/>
    </row>
    <row r="57" spans="3:15" ht="18.75" customHeight="1" thickBot="1" x14ac:dyDescent="0.2">
      <c r="C57" s="301"/>
      <c r="D57" s="302"/>
      <c r="E57" s="303"/>
      <c r="F57" s="20"/>
      <c r="G57" s="21"/>
      <c r="H57" s="22"/>
      <c r="I57" s="22"/>
      <c r="J57" s="22"/>
      <c r="K57" s="22"/>
      <c r="L57" s="150"/>
    </row>
    <row r="58" spans="3:15" ht="18.75" customHeight="1" thickTop="1" thickBot="1" x14ac:dyDescent="0.2">
      <c r="D58" s="146"/>
      <c r="E58" s="304" t="s">
        <v>11</v>
      </c>
      <c r="F58" s="304"/>
      <c r="G58" s="304"/>
      <c r="H58" s="160">
        <f>SUM(H52:H57)</f>
        <v>0</v>
      </c>
      <c r="I58" s="160">
        <f>SUM(I52:I57)</f>
        <v>0</v>
      </c>
      <c r="J58" s="160">
        <f>SUM(J52:J57)</f>
        <v>0</v>
      </c>
      <c r="K58" s="160">
        <f>SUM(K52:K57)</f>
        <v>0</v>
      </c>
      <c r="L58" s="150"/>
    </row>
    <row r="59" spans="3:15" ht="18.75" customHeight="1" thickTop="1" thickBot="1" x14ac:dyDescent="0.2">
      <c r="D59" s="146"/>
      <c r="E59" s="304" t="s">
        <v>12</v>
      </c>
      <c r="F59" s="304"/>
      <c r="G59" s="304"/>
      <c r="H59" s="159">
        <f>IF(H58&gt;0,1/H58,0)</f>
        <v>0</v>
      </c>
      <c r="I59" s="160">
        <f t="shared" ref="I59:K59" si="3">IF(I58&gt;0,1/I58,0)</f>
        <v>0</v>
      </c>
      <c r="J59" s="160">
        <f t="shared" si="3"/>
        <v>0</v>
      </c>
      <c r="K59" s="160">
        <f t="shared" si="3"/>
        <v>0</v>
      </c>
      <c r="L59" s="150"/>
      <c r="O59" s="306" t="s">
        <v>469</v>
      </c>
    </row>
    <row r="60" spans="3:15" ht="22.5" customHeight="1" thickTop="1" thickBot="1" x14ac:dyDescent="0.2">
      <c r="D60" s="161"/>
      <c r="E60" s="287" t="s">
        <v>230</v>
      </c>
      <c r="F60" s="287"/>
      <c r="G60" s="288"/>
      <c r="H60" s="162">
        <f>IF(SUM(H50:K50)&gt;0,(H59*H50+I59*I50+J59*J50+K59*K50)/SUM(H50:K50),0)</f>
        <v>0</v>
      </c>
      <c r="I60" s="150" t="s">
        <v>423</v>
      </c>
      <c r="J60" s="150"/>
      <c r="K60" s="150"/>
      <c r="L60" s="150"/>
      <c r="N60" s="120" t="s">
        <v>178</v>
      </c>
      <c r="O60" s="308"/>
    </row>
    <row r="61" spans="3:15" ht="9" customHeight="1" thickTop="1" thickBot="1" x14ac:dyDescent="0.2">
      <c r="K61" s="119"/>
      <c r="L61" s="119"/>
    </row>
    <row r="62" spans="3:15" ht="18.75" customHeight="1" thickTop="1" x14ac:dyDescent="0.15">
      <c r="C62" s="155" t="s">
        <v>476</v>
      </c>
      <c r="D62" s="151"/>
      <c r="H62" s="131" t="s">
        <v>13</v>
      </c>
      <c r="I62" s="131" t="s">
        <v>14</v>
      </c>
      <c r="J62" s="131" t="s">
        <v>15</v>
      </c>
      <c r="K62" s="131" t="s">
        <v>16</v>
      </c>
      <c r="L62" s="164"/>
      <c r="N62" s="120" t="s">
        <v>178</v>
      </c>
      <c r="O62" s="306" t="s">
        <v>431</v>
      </c>
    </row>
    <row r="63" spans="3:15" ht="18.75" customHeight="1" thickBot="1" x14ac:dyDescent="0.2">
      <c r="G63" s="131" t="s">
        <v>2</v>
      </c>
      <c r="H63" s="12"/>
      <c r="I63" s="12"/>
      <c r="J63" s="12"/>
      <c r="K63" s="12"/>
      <c r="L63" s="130"/>
      <c r="N63" s="163"/>
      <c r="O63" s="308"/>
    </row>
    <row r="64" spans="3:15" ht="33.75" customHeight="1" thickTop="1" thickBot="1" x14ac:dyDescent="0.2">
      <c r="C64" s="314" t="s">
        <v>3</v>
      </c>
      <c r="D64" s="315"/>
      <c r="E64" s="316"/>
      <c r="F64" s="125" t="s">
        <v>5</v>
      </c>
      <c r="G64" s="131" t="s">
        <v>4</v>
      </c>
      <c r="H64" s="125" t="s">
        <v>19</v>
      </c>
      <c r="I64" s="125" t="s">
        <v>19</v>
      </c>
      <c r="J64" s="125" t="s">
        <v>19</v>
      </c>
      <c r="K64" s="125" t="s">
        <v>19</v>
      </c>
      <c r="L64" s="126"/>
    </row>
    <row r="65" spans="3:15" ht="18.75" customHeight="1" thickTop="1" x14ac:dyDescent="0.15">
      <c r="C65" s="295"/>
      <c r="D65" s="296"/>
      <c r="E65" s="297"/>
      <c r="F65" s="14"/>
      <c r="G65" s="15"/>
      <c r="H65" s="16"/>
      <c r="I65" s="16"/>
      <c r="J65" s="16"/>
      <c r="K65" s="16"/>
      <c r="L65" s="150"/>
      <c r="N65" s="310" t="s">
        <v>178</v>
      </c>
      <c r="O65" s="311" t="s">
        <v>521</v>
      </c>
    </row>
    <row r="66" spans="3:15" ht="18.75" customHeight="1" x14ac:dyDescent="0.15">
      <c r="C66" s="298"/>
      <c r="D66" s="299"/>
      <c r="E66" s="300"/>
      <c r="F66" s="17"/>
      <c r="G66" s="18"/>
      <c r="H66" s="19"/>
      <c r="I66" s="19"/>
      <c r="J66" s="19"/>
      <c r="K66" s="19"/>
      <c r="L66" s="150"/>
      <c r="N66" s="310"/>
      <c r="O66" s="312"/>
    </row>
    <row r="67" spans="3:15" ht="18.75" customHeight="1" thickBot="1" x14ac:dyDescent="0.2">
      <c r="C67" s="298"/>
      <c r="D67" s="299"/>
      <c r="E67" s="300"/>
      <c r="F67" s="17"/>
      <c r="G67" s="18"/>
      <c r="H67" s="19"/>
      <c r="I67" s="19"/>
      <c r="J67" s="19"/>
      <c r="K67" s="19"/>
      <c r="L67" s="150"/>
      <c r="N67" s="310"/>
      <c r="O67" s="313"/>
    </row>
    <row r="68" spans="3:15" ht="18.75" customHeight="1" thickTop="1" x14ac:dyDescent="0.15">
      <c r="C68" s="298"/>
      <c r="D68" s="299"/>
      <c r="E68" s="300"/>
      <c r="F68" s="17"/>
      <c r="G68" s="18"/>
      <c r="H68" s="19"/>
      <c r="I68" s="19"/>
      <c r="J68" s="19"/>
      <c r="K68" s="19"/>
      <c r="L68" s="150"/>
    </row>
    <row r="69" spans="3:15" ht="18.75" customHeight="1" x14ac:dyDescent="0.15">
      <c r="C69" s="298"/>
      <c r="D69" s="299"/>
      <c r="E69" s="300"/>
      <c r="F69" s="17"/>
      <c r="G69" s="18"/>
      <c r="H69" s="19"/>
      <c r="I69" s="19"/>
      <c r="J69" s="19"/>
      <c r="K69" s="19"/>
      <c r="L69" s="150"/>
    </row>
    <row r="70" spans="3:15" ht="18.75" customHeight="1" thickBot="1" x14ac:dyDescent="0.2">
      <c r="C70" s="301"/>
      <c r="D70" s="302"/>
      <c r="E70" s="303"/>
      <c r="F70" s="20"/>
      <c r="G70" s="21"/>
      <c r="H70" s="22"/>
      <c r="I70" s="22"/>
      <c r="J70" s="22"/>
      <c r="K70" s="22"/>
      <c r="L70" s="150"/>
    </row>
    <row r="71" spans="3:15" ht="18.75" customHeight="1" thickTop="1" thickBot="1" x14ac:dyDescent="0.2">
      <c r="D71" s="146"/>
      <c r="E71" s="304" t="s">
        <v>11</v>
      </c>
      <c r="F71" s="304"/>
      <c r="G71" s="304"/>
      <c r="H71" s="160">
        <f>SUM(H65:H70)</f>
        <v>0</v>
      </c>
      <c r="I71" s="160">
        <f>SUM(I65:I70)</f>
        <v>0</v>
      </c>
      <c r="J71" s="160">
        <f>SUM(J65:J70)</f>
        <v>0</v>
      </c>
      <c r="K71" s="160">
        <f>SUM(K65:K70)</f>
        <v>0</v>
      </c>
      <c r="L71" s="150"/>
    </row>
    <row r="72" spans="3:15" ht="18.75" customHeight="1" thickTop="1" thickBot="1" x14ac:dyDescent="0.2">
      <c r="D72" s="146"/>
      <c r="E72" s="304" t="s">
        <v>12</v>
      </c>
      <c r="F72" s="304"/>
      <c r="G72" s="304"/>
      <c r="H72" s="159">
        <f>IF(H71&gt;0,1/H71,0)</f>
        <v>0</v>
      </c>
      <c r="I72" s="160">
        <f t="shared" ref="I72:K72" si="4">IF(I71&gt;0,1/I71,0)</f>
        <v>0</v>
      </c>
      <c r="J72" s="160">
        <f t="shared" si="4"/>
        <v>0</v>
      </c>
      <c r="K72" s="160">
        <f t="shared" si="4"/>
        <v>0</v>
      </c>
      <c r="L72" s="150"/>
      <c r="O72" s="306" t="s">
        <v>470</v>
      </c>
    </row>
    <row r="73" spans="3:15" ht="22.5" customHeight="1" thickTop="1" thickBot="1" x14ac:dyDescent="0.2">
      <c r="D73" s="161"/>
      <c r="E73" s="287" t="s">
        <v>230</v>
      </c>
      <c r="F73" s="287"/>
      <c r="G73" s="288"/>
      <c r="H73" s="162">
        <f>IF(SUM(H63:K63)&gt;0,(H72*H63+I72*I63+J72*J63+K72*K63)/SUM(H63:K63),0)</f>
        <v>0</v>
      </c>
      <c r="I73" s="150" t="s">
        <v>423</v>
      </c>
      <c r="J73" s="150"/>
      <c r="K73" s="150"/>
      <c r="L73" s="150"/>
      <c r="N73" s="120" t="s">
        <v>178</v>
      </c>
      <c r="O73" s="308"/>
    </row>
    <row r="74" spans="3:15" ht="9" customHeight="1" thickTop="1" thickBot="1" x14ac:dyDescent="0.2">
      <c r="K74" s="119"/>
      <c r="L74" s="119"/>
    </row>
    <row r="75" spans="3:15" ht="18.75" customHeight="1" thickTop="1" x14ac:dyDescent="0.15">
      <c r="C75" s="155" t="s">
        <v>478</v>
      </c>
      <c r="H75" s="131" t="s">
        <v>13</v>
      </c>
      <c r="I75" s="131" t="s">
        <v>14</v>
      </c>
      <c r="J75" s="131" t="s">
        <v>15</v>
      </c>
      <c r="K75" s="131" t="s">
        <v>16</v>
      </c>
      <c r="L75" s="164"/>
      <c r="N75" s="120" t="s">
        <v>178</v>
      </c>
      <c r="O75" s="306" t="s">
        <v>503</v>
      </c>
    </row>
    <row r="76" spans="3:15" ht="18.75" customHeight="1" x14ac:dyDescent="0.15">
      <c r="C76" s="165" t="s">
        <v>20</v>
      </c>
      <c r="D76" s="289" t="s">
        <v>432</v>
      </c>
      <c r="E76" s="290"/>
      <c r="F76" s="291"/>
      <c r="G76" s="131" t="s">
        <v>2</v>
      </c>
      <c r="H76" s="12"/>
      <c r="I76" s="12"/>
      <c r="J76" s="12"/>
      <c r="K76" s="12"/>
      <c r="L76" s="130"/>
      <c r="N76" s="156"/>
      <c r="O76" s="307"/>
    </row>
    <row r="77" spans="3:15" ht="33.75" customHeight="1" thickBot="1" x14ac:dyDescent="0.2">
      <c r="C77" s="292" t="s">
        <v>3</v>
      </c>
      <c r="D77" s="293"/>
      <c r="E77" s="294"/>
      <c r="F77" s="125" t="s">
        <v>5</v>
      </c>
      <c r="G77" s="131" t="s">
        <v>4</v>
      </c>
      <c r="H77" s="125" t="s">
        <v>19</v>
      </c>
      <c r="I77" s="125" t="s">
        <v>19</v>
      </c>
      <c r="J77" s="125" t="s">
        <v>19</v>
      </c>
      <c r="K77" s="125" t="s">
        <v>19</v>
      </c>
      <c r="L77" s="126"/>
      <c r="O77" s="308"/>
    </row>
    <row r="78" spans="3:15" ht="18.75" customHeight="1" thickTop="1" x14ac:dyDescent="0.15">
      <c r="C78" s="295"/>
      <c r="D78" s="296"/>
      <c r="E78" s="297"/>
      <c r="F78" s="14"/>
      <c r="G78" s="15"/>
      <c r="H78" s="16"/>
      <c r="I78" s="16"/>
      <c r="J78" s="16"/>
      <c r="K78" s="16"/>
      <c r="L78" s="150"/>
    </row>
    <row r="79" spans="3:15" ht="18.75" customHeight="1" x14ac:dyDescent="0.15">
      <c r="C79" s="298"/>
      <c r="D79" s="299"/>
      <c r="E79" s="300"/>
      <c r="F79" s="17"/>
      <c r="G79" s="18"/>
      <c r="H79" s="19"/>
      <c r="I79" s="19"/>
      <c r="J79" s="19"/>
      <c r="K79" s="19"/>
      <c r="L79" s="150"/>
    </row>
    <row r="80" spans="3:15" ht="18.75" customHeight="1" x14ac:dyDescent="0.15">
      <c r="C80" s="298"/>
      <c r="D80" s="299"/>
      <c r="E80" s="300"/>
      <c r="F80" s="17"/>
      <c r="G80" s="18"/>
      <c r="H80" s="19"/>
      <c r="I80" s="19"/>
      <c r="J80" s="19"/>
      <c r="K80" s="19"/>
      <c r="L80" s="150"/>
    </row>
    <row r="81" spans="3:15" ht="18.75" customHeight="1" x14ac:dyDescent="0.15">
      <c r="C81" s="298"/>
      <c r="D81" s="299"/>
      <c r="E81" s="300"/>
      <c r="F81" s="17"/>
      <c r="G81" s="18"/>
      <c r="H81" s="19"/>
      <c r="I81" s="19"/>
      <c r="J81" s="19"/>
      <c r="K81" s="19"/>
      <c r="L81" s="150"/>
    </row>
    <row r="82" spans="3:15" ht="18.75" customHeight="1" x14ac:dyDescent="0.15">
      <c r="C82" s="298"/>
      <c r="D82" s="299"/>
      <c r="E82" s="300"/>
      <c r="F82" s="17"/>
      <c r="G82" s="18"/>
      <c r="H82" s="19"/>
      <c r="I82" s="19"/>
      <c r="J82" s="19"/>
      <c r="K82" s="19"/>
      <c r="L82" s="150"/>
    </row>
    <row r="83" spans="3:15" ht="18.75" customHeight="1" thickBot="1" x14ac:dyDescent="0.2">
      <c r="C83" s="301"/>
      <c r="D83" s="302"/>
      <c r="E83" s="303"/>
      <c r="F83" s="20"/>
      <c r="G83" s="21"/>
      <c r="H83" s="22"/>
      <c r="I83" s="22"/>
      <c r="J83" s="22"/>
      <c r="K83" s="22"/>
      <c r="L83" s="150"/>
    </row>
    <row r="84" spans="3:15" ht="18.75" customHeight="1" thickTop="1" thickBot="1" x14ac:dyDescent="0.2">
      <c r="D84" s="146"/>
      <c r="E84" s="304" t="s">
        <v>11</v>
      </c>
      <c r="F84" s="304"/>
      <c r="G84" s="304"/>
      <c r="H84" s="160">
        <f>SUM(H78:H83)</f>
        <v>0</v>
      </c>
      <c r="I84" s="160">
        <f>SUM(I78:I83)</f>
        <v>0</v>
      </c>
      <c r="J84" s="160">
        <f>SUM(J78:J83)</f>
        <v>0</v>
      </c>
      <c r="K84" s="160">
        <f>SUM(K78:K83)</f>
        <v>0</v>
      </c>
      <c r="L84" s="150"/>
    </row>
    <row r="85" spans="3:15" ht="18.75" customHeight="1" thickTop="1" thickBot="1" x14ac:dyDescent="0.2">
      <c r="D85" s="146"/>
      <c r="E85" s="304" t="s">
        <v>12</v>
      </c>
      <c r="F85" s="304"/>
      <c r="G85" s="304"/>
      <c r="H85" s="159">
        <f>IF(H84&gt;0,1/H84,0)</f>
        <v>0</v>
      </c>
      <c r="I85" s="160">
        <f t="shared" ref="I85:K85" si="5">IF(I84&gt;0,1/I84,0)</f>
        <v>0</v>
      </c>
      <c r="J85" s="160">
        <f t="shared" si="5"/>
        <v>0</v>
      </c>
      <c r="K85" s="160">
        <f t="shared" si="5"/>
        <v>0</v>
      </c>
      <c r="L85" s="150"/>
      <c r="O85" s="306" t="s">
        <v>479</v>
      </c>
    </row>
    <row r="86" spans="3:15" ht="22.5" customHeight="1" thickTop="1" thickBot="1" x14ac:dyDescent="0.2">
      <c r="D86" s="161"/>
      <c r="E86" s="287" t="s">
        <v>230</v>
      </c>
      <c r="F86" s="287"/>
      <c r="G86" s="288"/>
      <c r="H86" s="162">
        <f>IF(SUM(H76:K76)&gt;0,(H85*H76+I85*I76+J85*J76+K85*K76)/SUM(H76:K76),0)</f>
        <v>0</v>
      </c>
      <c r="I86" s="150"/>
      <c r="J86" s="150"/>
      <c r="K86" s="150"/>
      <c r="L86" s="150"/>
      <c r="N86" s="120" t="s">
        <v>178</v>
      </c>
      <c r="O86" s="308"/>
    </row>
    <row r="87" spans="3:15" ht="7.5" customHeight="1" thickTop="1" x14ac:dyDescent="0.15">
      <c r="K87" s="119"/>
      <c r="L87" s="119"/>
    </row>
    <row r="88" spans="3:15" ht="9" customHeight="1" x14ac:dyDescent="0.15">
      <c r="K88" s="119"/>
      <c r="L88" s="119"/>
    </row>
    <row r="89" spans="3:15" ht="18.75" customHeight="1" x14ac:dyDescent="0.15">
      <c r="C89" s="155" t="s">
        <v>497</v>
      </c>
      <c r="H89" s="131" t="s">
        <v>13</v>
      </c>
      <c r="I89" s="131" t="s">
        <v>14</v>
      </c>
      <c r="J89" s="131" t="s">
        <v>15</v>
      </c>
      <c r="K89" s="131" t="s">
        <v>16</v>
      </c>
      <c r="L89" s="164"/>
    </row>
    <row r="90" spans="3:15" ht="18.75" customHeight="1" x14ac:dyDescent="0.15">
      <c r="C90" s="165" t="s">
        <v>20</v>
      </c>
      <c r="D90" s="289" t="s">
        <v>432</v>
      </c>
      <c r="E90" s="290"/>
      <c r="F90" s="291"/>
      <c r="G90" s="131" t="s">
        <v>2</v>
      </c>
      <c r="H90" s="12"/>
      <c r="I90" s="12"/>
      <c r="J90" s="12"/>
      <c r="K90" s="12"/>
      <c r="L90" s="130"/>
    </row>
    <row r="91" spans="3:15" ht="33.75" customHeight="1" x14ac:dyDescent="0.15">
      <c r="C91" s="292" t="s">
        <v>3</v>
      </c>
      <c r="D91" s="293"/>
      <c r="E91" s="294"/>
      <c r="F91" s="125" t="s">
        <v>5</v>
      </c>
      <c r="G91" s="131" t="s">
        <v>4</v>
      </c>
      <c r="H91" s="125" t="s">
        <v>19</v>
      </c>
      <c r="I91" s="125" t="s">
        <v>19</v>
      </c>
      <c r="J91" s="125" t="s">
        <v>19</v>
      </c>
      <c r="K91" s="125" t="s">
        <v>19</v>
      </c>
      <c r="L91" s="126"/>
    </row>
    <row r="92" spans="3:15" ht="18.75" customHeight="1" x14ac:dyDescent="0.15">
      <c r="C92" s="295"/>
      <c r="D92" s="296"/>
      <c r="E92" s="297"/>
      <c r="F92" s="14"/>
      <c r="G92" s="15"/>
      <c r="H92" s="16"/>
      <c r="I92" s="16"/>
      <c r="J92" s="16"/>
      <c r="K92" s="16"/>
      <c r="L92" s="150"/>
    </row>
    <row r="93" spans="3:15" ht="18.75" customHeight="1" x14ac:dyDescent="0.15">
      <c r="C93" s="298"/>
      <c r="D93" s="299"/>
      <c r="E93" s="300"/>
      <c r="F93" s="17"/>
      <c r="G93" s="18"/>
      <c r="H93" s="19"/>
      <c r="I93" s="19"/>
      <c r="J93" s="19"/>
      <c r="K93" s="19"/>
      <c r="L93" s="150"/>
    </row>
    <row r="94" spans="3:15" ht="18.75" customHeight="1" x14ac:dyDescent="0.15">
      <c r="C94" s="298"/>
      <c r="D94" s="299"/>
      <c r="E94" s="300"/>
      <c r="F94" s="17"/>
      <c r="G94" s="18"/>
      <c r="H94" s="19"/>
      <c r="I94" s="19"/>
      <c r="J94" s="19"/>
      <c r="K94" s="19"/>
      <c r="L94" s="150"/>
    </row>
    <row r="95" spans="3:15" ht="18.75" customHeight="1" x14ac:dyDescent="0.15">
      <c r="C95" s="298"/>
      <c r="D95" s="299"/>
      <c r="E95" s="300"/>
      <c r="F95" s="17"/>
      <c r="G95" s="18"/>
      <c r="H95" s="19"/>
      <c r="I95" s="19"/>
      <c r="J95" s="19"/>
      <c r="K95" s="19"/>
      <c r="L95" s="150"/>
    </row>
    <row r="96" spans="3:15" ht="18.75" customHeight="1" x14ac:dyDescent="0.15">
      <c r="C96" s="298"/>
      <c r="D96" s="299"/>
      <c r="E96" s="300"/>
      <c r="F96" s="17"/>
      <c r="G96" s="18"/>
      <c r="H96" s="19"/>
      <c r="I96" s="19"/>
      <c r="J96" s="19"/>
      <c r="K96" s="19"/>
      <c r="L96" s="150"/>
    </row>
    <row r="97" spans="3:12" ht="18.75" customHeight="1" thickBot="1" x14ac:dyDescent="0.2">
      <c r="C97" s="301"/>
      <c r="D97" s="302"/>
      <c r="E97" s="303"/>
      <c r="F97" s="20"/>
      <c r="G97" s="21"/>
      <c r="H97" s="22"/>
      <c r="I97" s="22"/>
      <c r="J97" s="22"/>
      <c r="K97" s="22"/>
      <c r="L97" s="150"/>
    </row>
    <row r="98" spans="3:12" ht="18.75" customHeight="1" thickTop="1" x14ac:dyDescent="0.15">
      <c r="D98" s="146"/>
      <c r="E98" s="304" t="s">
        <v>11</v>
      </c>
      <c r="F98" s="304"/>
      <c r="G98" s="304"/>
      <c r="H98" s="160">
        <f>SUM(H92:H97)</f>
        <v>0</v>
      </c>
      <c r="I98" s="160">
        <f>SUM(I92:I97)</f>
        <v>0</v>
      </c>
      <c r="J98" s="160">
        <f>SUM(J92:J97)</f>
        <v>0</v>
      </c>
      <c r="K98" s="160">
        <f>SUM(K92:K97)</f>
        <v>0</v>
      </c>
      <c r="L98" s="150"/>
    </row>
    <row r="99" spans="3:12" ht="18.75" customHeight="1" thickBot="1" x14ac:dyDescent="0.2">
      <c r="D99" s="146"/>
      <c r="E99" s="304" t="s">
        <v>12</v>
      </c>
      <c r="F99" s="304"/>
      <c r="G99" s="304"/>
      <c r="H99" s="159">
        <f>IF(H98&gt;0,1/H98,0)</f>
        <v>0</v>
      </c>
      <c r="I99" s="160">
        <f t="shared" ref="I99:K99" si="6">IF(I98&gt;0,1/I98,0)</f>
        <v>0</v>
      </c>
      <c r="J99" s="160">
        <f t="shared" si="6"/>
        <v>0</v>
      </c>
      <c r="K99" s="160">
        <f t="shared" si="6"/>
        <v>0</v>
      </c>
      <c r="L99" s="150"/>
    </row>
    <row r="100" spans="3:12" ht="22.5" customHeight="1" thickTop="1" thickBot="1" x14ac:dyDescent="0.2">
      <c r="D100" s="161"/>
      <c r="E100" s="287" t="s">
        <v>230</v>
      </c>
      <c r="F100" s="287"/>
      <c r="G100" s="288"/>
      <c r="H100" s="162">
        <f>IF(SUM(H90:K90)&gt;0,(H99*H90+I99*I90+J99*J90+K99*K90)/SUM(H90:K90),0)</f>
        <v>0</v>
      </c>
      <c r="I100" s="150"/>
      <c r="J100" s="150"/>
      <c r="K100" s="150"/>
      <c r="L100" s="150"/>
    </row>
    <row r="101" spans="3:12" ht="9" customHeight="1" thickTop="1" x14ac:dyDescent="0.15">
      <c r="K101" s="119"/>
      <c r="L101" s="119"/>
    </row>
    <row r="102" spans="3:12" ht="18.75" customHeight="1" x14ac:dyDescent="0.15">
      <c r="C102" s="155" t="s">
        <v>498</v>
      </c>
      <c r="H102" s="131" t="s">
        <v>13</v>
      </c>
      <c r="I102" s="131" t="s">
        <v>14</v>
      </c>
      <c r="J102" s="131" t="s">
        <v>15</v>
      </c>
      <c r="K102" s="131" t="s">
        <v>16</v>
      </c>
      <c r="L102" s="164"/>
    </row>
    <row r="103" spans="3:12" ht="18.75" customHeight="1" x14ac:dyDescent="0.15">
      <c r="C103" s="165" t="s">
        <v>20</v>
      </c>
      <c r="D103" s="289" t="s">
        <v>432</v>
      </c>
      <c r="E103" s="290"/>
      <c r="F103" s="291"/>
      <c r="G103" s="131" t="s">
        <v>2</v>
      </c>
      <c r="H103" s="12"/>
      <c r="I103" s="12"/>
      <c r="J103" s="12"/>
      <c r="K103" s="12"/>
      <c r="L103" s="130"/>
    </row>
    <row r="104" spans="3:12" ht="33.75" customHeight="1" x14ac:dyDescent="0.15">
      <c r="C104" s="292" t="s">
        <v>3</v>
      </c>
      <c r="D104" s="293"/>
      <c r="E104" s="294"/>
      <c r="F104" s="125" t="s">
        <v>5</v>
      </c>
      <c r="G104" s="131" t="s">
        <v>4</v>
      </c>
      <c r="H104" s="125" t="s">
        <v>19</v>
      </c>
      <c r="I104" s="125" t="s">
        <v>19</v>
      </c>
      <c r="J104" s="125" t="s">
        <v>19</v>
      </c>
      <c r="K104" s="125" t="s">
        <v>19</v>
      </c>
      <c r="L104" s="126"/>
    </row>
    <row r="105" spans="3:12" ht="18.75" customHeight="1" x14ac:dyDescent="0.15">
      <c r="C105" s="295"/>
      <c r="D105" s="296"/>
      <c r="E105" s="297"/>
      <c r="F105" s="14"/>
      <c r="G105" s="15"/>
      <c r="H105" s="16"/>
      <c r="I105" s="16"/>
      <c r="J105" s="16"/>
      <c r="K105" s="16"/>
      <c r="L105" s="150"/>
    </row>
    <row r="106" spans="3:12" ht="18.75" customHeight="1" x14ac:dyDescent="0.15">
      <c r="C106" s="298"/>
      <c r="D106" s="299"/>
      <c r="E106" s="300"/>
      <c r="F106" s="17"/>
      <c r="G106" s="18"/>
      <c r="H106" s="19"/>
      <c r="I106" s="19"/>
      <c r="J106" s="19"/>
      <c r="K106" s="19"/>
      <c r="L106" s="150"/>
    </row>
    <row r="107" spans="3:12" ht="18.75" customHeight="1" x14ac:dyDescent="0.15">
      <c r="C107" s="298"/>
      <c r="D107" s="299"/>
      <c r="E107" s="300"/>
      <c r="F107" s="17"/>
      <c r="G107" s="18"/>
      <c r="H107" s="19"/>
      <c r="I107" s="19"/>
      <c r="J107" s="19"/>
      <c r="K107" s="19"/>
      <c r="L107" s="150"/>
    </row>
    <row r="108" spans="3:12" ht="18.75" customHeight="1" x14ac:dyDescent="0.15">
      <c r="C108" s="298"/>
      <c r="D108" s="299"/>
      <c r="E108" s="300"/>
      <c r="F108" s="17"/>
      <c r="G108" s="18"/>
      <c r="H108" s="19"/>
      <c r="I108" s="19"/>
      <c r="J108" s="19"/>
      <c r="K108" s="19"/>
      <c r="L108" s="150"/>
    </row>
    <row r="109" spans="3:12" ht="18.75" customHeight="1" x14ac:dyDescent="0.15">
      <c r="C109" s="298"/>
      <c r="D109" s="299"/>
      <c r="E109" s="300"/>
      <c r="F109" s="17"/>
      <c r="G109" s="18"/>
      <c r="H109" s="19"/>
      <c r="I109" s="19"/>
      <c r="J109" s="19"/>
      <c r="K109" s="19"/>
      <c r="L109" s="150"/>
    </row>
    <row r="110" spans="3:12" ht="18.75" customHeight="1" thickBot="1" x14ac:dyDescent="0.2">
      <c r="C110" s="301"/>
      <c r="D110" s="302"/>
      <c r="E110" s="303"/>
      <c r="F110" s="20"/>
      <c r="G110" s="21"/>
      <c r="H110" s="22"/>
      <c r="I110" s="22"/>
      <c r="J110" s="22"/>
      <c r="K110" s="22"/>
      <c r="L110" s="150"/>
    </row>
    <row r="111" spans="3:12" ht="18.75" customHeight="1" thickTop="1" x14ac:dyDescent="0.15">
      <c r="D111" s="146"/>
      <c r="E111" s="304" t="s">
        <v>11</v>
      </c>
      <c r="F111" s="304"/>
      <c r="G111" s="304"/>
      <c r="H111" s="160">
        <f>SUM(H105:H110)</f>
        <v>0</v>
      </c>
      <c r="I111" s="160">
        <f>SUM(I105:I110)</f>
        <v>0</v>
      </c>
      <c r="J111" s="160">
        <f>SUM(J105:J110)</f>
        <v>0</v>
      </c>
      <c r="K111" s="160">
        <f>SUM(K105:K110)</f>
        <v>0</v>
      </c>
      <c r="L111" s="150"/>
    </row>
    <row r="112" spans="3:12" ht="18.75" customHeight="1" thickBot="1" x14ac:dyDescent="0.2">
      <c r="D112" s="146"/>
      <c r="E112" s="304" t="s">
        <v>12</v>
      </c>
      <c r="F112" s="304"/>
      <c r="G112" s="304"/>
      <c r="H112" s="159">
        <f>IF(H111&gt;0,1/H111,0)</f>
        <v>0</v>
      </c>
      <c r="I112" s="160">
        <f t="shared" ref="I112:K112" si="7">IF(I111&gt;0,1/I111,0)</f>
        <v>0</v>
      </c>
      <c r="J112" s="160">
        <f t="shared" si="7"/>
        <v>0</v>
      </c>
      <c r="K112" s="160">
        <f t="shared" si="7"/>
        <v>0</v>
      </c>
      <c r="L112" s="150"/>
    </row>
    <row r="113" spans="3:15" ht="22.5" customHeight="1" thickTop="1" thickBot="1" x14ac:dyDescent="0.2">
      <c r="D113" s="161"/>
      <c r="E113" s="287" t="s">
        <v>230</v>
      </c>
      <c r="F113" s="287"/>
      <c r="G113" s="288"/>
      <c r="H113" s="162">
        <f>IF(SUM(H103:K103)&gt;0,(H112*H103+I112*I103+J112*J103+K112*K103)/SUM(H103:K103),0)</f>
        <v>0</v>
      </c>
      <c r="I113" s="150"/>
      <c r="J113" s="150"/>
      <c r="K113" s="150"/>
      <c r="L113" s="150"/>
    </row>
    <row r="114" spans="3:15" ht="7.5" customHeight="1" thickTop="1" x14ac:dyDescent="0.15">
      <c r="K114" s="119"/>
      <c r="L114" s="119"/>
    </row>
    <row r="115" spans="3:15" ht="13.5" customHeight="1" thickBot="1" x14ac:dyDescent="0.2">
      <c r="L115" s="119"/>
    </row>
    <row r="116" spans="3:15" ht="20.25" thickTop="1" x14ac:dyDescent="0.15">
      <c r="C116" s="155" t="s">
        <v>455</v>
      </c>
      <c r="N116" s="309" t="s">
        <v>178</v>
      </c>
      <c r="O116" s="306" t="s">
        <v>501</v>
      </c>
    </row>
    <row r="117" spans="3:15" ht="20.25" customHeight="1" x14ac:dyDescent="0.15">
      <c r="C117" s="286" t="s">
        <v>454</v>
      </c>
      <c r="D117" s="305"/>
      <c r="E117" s="305"/>
      <c r="F117" s="305"/>
      <c r="G117" s="283" t="s">
        <v>486</v>
      </c>
      <c r="H117" s="284"/>
      <c r="I117" s="285" t="s">
        <v>490</v>
      </c>
      <c r="J117" s="285"/>
      <c r="K117" s="285"/>
      <c r="L117" s="113">
        <f>VLOOKUP(I117,Ψ値!$H$2:$I$6,2,FALSE)</f>
        <v>9999</v>
      </c>
      <c r="N117" s="309"/>
      <c r="O117" s="307"/>
    </row>
    <row r="118" spans="3:15" ht="20.25" customHeight="1" x14ac:dyDescent="0.15">
      <c r="C118" s="284" t="s">
        <v>488</v>
      </c>
      <c r="D118" s="284"/>
      <c r="E118" s="284"/>
      <c r="F118" s="286"/>
      <c r="G118" s="283" t="s">
        <v>486</v>
      </c>
      <c r="H118" s="284"/>
      <c r="I118" s="285" t="s">
        <v>490</v>
      </c>
      <c r="J118" s="285"/>
      <c r="K118" s="285"/>
      <c r="L118" s="113">
        <f>VLOOKUP(I118,Ψ値!$K$2:$L$8,2,FALSE)</f>
        <v>9999</v>
      </c>
      <c r="N118" s="309"/>
      <c r="O118" s="307"/>
    </row>
    <row r="119" spans="3:15" ht="20.25" customHeight="1" x14ac:dyDescent="0.15">
      <c r="C119" s="284" t="str">
        <f>IF(I117="布基礎・土間下断熱","T:基礎壁の内側から土間床を貫通する断熱材の熱抵抗","N:基礎壁内側の断熱材の熱抵抗")</f>
        <v>N:基礎壁内側の断熱材の熱抵抗</v>
      </c>
      <c r="D119" s="284"/>
      <c r="E119" s="284"/>
      <c r="F119" s="286"/>
      <c r="G119" s="283" t="s">
        <v>486</v>
      </c>
      <c r="H119" s="284"/>
      <c r="I119" s="285" t="s">
        <v>490</v>
      </c>
      <c r="J119" s="285"/>
      <c r="K119" s="285"/>
      <c r="L119" s="113">
        <f>VLOOKUP(I119,Ψ値!$N$2:$O$8,2,FALSE)</f>
        <v>9999</v>
      </c>
      <c r="N119" s="309"/>
      <c r="O119" s="307"/>
    </row>
    <row r="120" spans="3:15" ht="20.25" customHeight="1" thickBot="1" x14ac:dyDescent="0.2">
      <c r="C120" s="281" t="str">
        <f>IF(COUNTIF(I117,"*土間上*"),"Q:土間床上の断熱材の水平長さ","S:土間床下の断熱材の水平長さ")</f>
        <v>S:土間床下の断熱材の水平長さ</v>
      </c>
      <c r="D120" s="282"/>
      <c r="E120" s="282"/>
      <c r="F120" s="282"/>
      <c r="G120" s="283" t="s">
        <v>487</v>
      </c>
      <c r="H120" s="284"/>
      <c r="I120" s="285" t="s">
        <v>490</v>
      </c>
      <c r="J120" s="285"/>
      <c r="K120" s="285"/>
      <c r="L120" s="113">
        <f>IF(OR(I120=Ψ値!$B$3,I121=Ψ値!$E$3),3,VLOOKUP(I120,Ψ値!$B$2:$C$6,2,FALSE))</f>
        <v>9999</v>
      </c>
      <c r="O120" s="308"/>
    </row>
    <row r="121" spans="3:15" ht="20.25" customHeight="1" thickTop="1" thickBot="1" x14ac:dyDescent="0.2">
      <c r="C121" s="284" t="str">
        <f>IF(COUNTIF(I117,"*土間上*"),"O:土間床上の断熱材の熱抵抗","R:土間床下の断熱材の熱抵抗")</f>
        <v>R:土間床下の断熱材の熱抵抗</v>
      </c>
      <c r="D121" s="284"/>
      <c r="E121" s="284"/>
      <c r="F121" s="286"/>
      <c r="G121" s="283" t="s">
        <v>486</v>
      </c>
      <c r="H121" s="284"/>
      <c r="I121" s="285" t="s">
        <v>490</v>
      </c>
      <c r="J121" s="285"/>
      <c r="K121" s="285"/>
      <c r="L121" s="113">
        <f>IF(OR(I120=Ψ値!$B$3,I121=Ψ値!$E$3),0,VLOOKUP(I121,Ψ値!$E$2:$F$8,2,FALSE))</f>
        <v>9999</v>
      </c>
      <c r="O121" s="306" t="s">
        <v>499</v>
      </c>
    </row>
    <row r="122" spans="3:15" ht="22.5" customHeight="1" thickTop="1" thickBot="1" x14ac:dyDescent="0.2">
      <c r="F122" s="287" t="s">
        <v>494</v>
      </c>
      <c r="G122" s="287"/>
      <c r="H122" s="288"/>
      <c r="I122" s="108" cm="1">
        <f t="array" ref="I122">IF(AND(K122&lt;=164,L122&lt;=18),INDEX(Ψ値!$A$1:$R$163,K122,L122),0.99)</f>
        <v>0.99</v>
      </c>
      <c r="K122" s="113">
        <f>SUM(L117:L119)</f>
        <v>29997</v>
      </c>
      <c r="L122" s="113">
        <f>SUM(L120:L121)</f>
        <v>19998</v>
      </c>
      <c r="N122" s="120" t="s">
        <v>178</v>
      </c>
      <c r="O122" s="308"/>
    </row>
    <row r="123" spans="3:15" ht="8.25" customHeight="1" thickTop="1" thickBot="1" x14ac:dyDescent="0.2"/>
    <row r="124" spans="3:15" ht="20.25" thickTop="1" x14ac:dyDescent="0.15">
      <c r="C124" s="155" t="s">
        <v>495</v>
      </c>
      <c r="N124" s="120" t="s">
        <v>178</v>
      </c>
      <c r="O124" s="306" t="s">
        <v>502</v>
      </c>
    </row>
    <row r="125" spans="3:15" ht="20.25" customHeight="1" x14ac:dyDescent="0.15">
      <c r="C125" s="286" t="s">
        <v>454</v>
      </c>
      <c r="D125" s="305"/>
      <c r="E125" s="305"/>
      <c r="F125" s="305"/>
      <c r="G125" s="283" t="s">
        <v>486</v>
      </c>
      <c r="H125" s="284"/>
      <c r="I125" s="285" t="s">
        <v>490</v>
      </c>
      <c r="J125" s="285"/>
      <c r="K125" s="285"/>
      <c r="L125" s="113">
        <f>VLOOKUP(I125,Ψ値!$H$2:$I$6,2,FALSE)</f>
        <v>9999</v>
      </c>
      <c r="N125" s="156"/>
      <c r="O125" s="307"/>
    </row>
    <row r="126" spans="3:15" ht="20.25" customHeight="1" thickBot="1" x14ac:dyDescent="0.2">
      <c r="C126" s="284" t="s">
        <v>488</v>
      </c>
      <c r="D126" s="284"/>
      <c r="E126" s="284"/>
      <c r="F126" s="286"/>
      <c r="G126" s="283" t="s">
        <v>486</v>
      </c>
      <c r="H126" s="284"/>
      <c r="I126" s="285" t="s">
        <v>490</v>
      </c>
      <c r="J126" s="285"/>
      <c r="K126" s="285"/>
      <c r="L126" s="113">
        <f>VLOOKUP(I126,Ψ値!$K$2:$L$8,2,FALSE)</f>
        <v>9999</v>
      </c>
      <c r="O126" s="308"/>
    </row>
    <row r="127" spans="3:15" ht="20.25" customHeight="1" thickTop="1" x14ac:dyDescent="0.15">
      <c r="C127" s="284" t="str">
        <f>IF(I125="布基礎・土間下断熱","T:基礎壁の内側から土間床を貫通する断熱材の熱抵抗","N:基礎壁内側の断熱材の熱抵抗")</f>
        <v>N:基礎壁内側の断熱材の熱抵抗</v>
      </c>
      <c r="D127" s="284"/>
      <c r="E127" s="284"/>
      <c r="F127" s="286"/>
      <c r="G127" s="283" t="s">
        <v>486</v>
      </c>
      <c r="H127" s="284"/>
      <c r="I127" s="285" t="s">
        <v>490</v>
      </c>
      <c r="J127" s="285"/>
      <c r="K127" s="285"/>
      <c r="L127" s="113">
        <f>VLOOKUP(I127,Ψ値!$N$2:$O$8,2,FALSE)</f>
        <v>9999</v>
      </c>
    </row>
    <row r="128" spans="3:15" ht="20.25" customHeight="1" x14ac:dyDescent="0.15">
      <c r="C128" s="281" t="str">
        <f>IF(COUNTIF(I125,"*土間上*"),"Q:土間床上の断熱材の水平長さ","S:土間床下の断熱材の水平長さ")</f>
        <v>S:土間床下の断熱材の水平長さ</v>
      </c>
      <c r="D128" s="282"/>
      <c r="E128" s="282"/>
      <c r="F128" s="282"/>
      <c r="G128" s="283" t="s">
        <v>487</v>
      </c>
      <c r="H128" s="284"/>
      <c r="I128" s="285" t="s">
        <v>490</v>
      </c>
      <c r="J128" s="285"/>
      <c r="K128" s="285"/>
      <c r="L128" s="113">
        <f>IF(OR(I128=Ψ値!$B$3,I129=Ψ値!$E$3),3,VLOOKUP(I128,Ψ値!$B$2:$C$6,2,FALSE))</f>
        <v>9999</v>
      </c>
    </row>
    <row r="129" spans="3:12" ht="20.25" customHeight="1" thickBot="1" x14ac:dyDescent="0.2">
      <c r="C129" s="284" t="str">
        <f>IF(COUNTIF(I125,"*土間上*"),"O:土間床上の断熱材の熱抵抗","R:土間床下の断熱材の熱抵抗")</f>
        <v>R:土間床下の断熱材の熱抵抗</v>
      </c>
      <c r="D129" s="284"/>
      <c r="E129" s="284"/>
      <c r="F129" s="286"/>
      <c r="G129" s="283" t="s">
        <v>486</v>
      </c>
      <c r="H129" s="284"/>
      <c r="I129" s="285" t="s">
        <v>490</v>
      </c>
      <c r="J129" s="285"/>
      <c r="K129" s="285"/>
      <c r="L129" s="113">
        <f>IF(OR(I128=Ψ値!$B$3,I129=Ψ値!$E$3),0,VLOOKUP(I129,Ψ値!$E$2:$F$8,2,FALSE))</f>
        <v>9999</v>
      </c>
    </row>
    <row r="130" spans="3:12" ht="22.5" customHeight="1" thickTop="1" thickBot="1" x14ac:dyDescent="0.2">
      <c r="F130" s="287" t="s">
        <v>494</v>
      </c>
      <c r="G130" s="287"/>
      <c r="H130" s="288"/>
      <c r="I130" s="108" cm="1">
        <f t="array" ref="I130">IF(AND(K130&lt;=164,L130&lt;=18),INDEX(Ψ値!$A$1:$R$163,K130,L130),0.99)</f>
        <v>0.99</v>
      </c>
      <c r="K130" s="113">
        <f>SUM(L125:L127)</f>
        <v>29997</v>
      </c>
      <c r="L130" s="113">
        <f>SUM(L128:L129)</f>
        <v>19998</v>
      </c>
    </row>
    <row r="131" spans="3:12" ht="5.25" customHeight="1" thickTop="1" x14ac:dyDescent="0.15"/>
    <row r="132" spans="3:12" ht="20.25" customHeight="1" x14ac:dyDescent="0.15">
      <c r="C132" s="155" t="s">
        <v>496</v>
      </c>
    </row>
    <row r="133" spans="3:12" ht="20.25" customHeight="1" x14ac:dyDescent="0.15">
      <c r="C133" s="286" t="s">
        <v>454</v>
      </c>
      <c r="D133" s="305"/>
      <c r="E133" s="305"/>
      <c r="F133" s="305"/>
      <c r="G133" s="283" t="s">
        <v>486</v>
      </c>
      <c r="H133" s="284"/>
      <c r="I133" s="285" t="s">
        <v>490</v>
      </c>
      <c r="J133" s="285"/>
      <c r="K133" s="285"/>
      <c r="L133" s="113">
        <f>VLOOKUP(I133,Ψ値!$H$2:$I$6,2,FALSE)</f>
        <v>9999</v>
      </c>
    </row>
    <row r="134" spans="3:12" ht="20.25" customHeight="1" x14ac:dyDescent="0.15">
      <c r="C134" s="284" t="s">
        <v>488</v>
      </c>
      <c r="D134" s="284"/>
      <c r="E134" s="284"/>
      <c r="F134" s="286"/>
      <c r="G134" s="283" t="s">
        <v>486</v>
      </c>
      <c r="H134" s="284"/>
      <c r="I134" s="285" t="s">
        <v>490</v>
      </c>
      <c r="J134" s="285"/>
      <c r="K134" s="285"/>
      <c r="L134" s="113">
        <f>VLOOKUP(I134,Ψ値!$K$2:$L$8,2,FALSE)</f>
        <v>9999</v>
      </c>
    </row>
    <row r="135" spans="3:12" ht="20.25" customHeight="1" x14ac:dyDescent="0.15">
      <c r="C135" s="284" t="str">
        <f>IF(I133="布基礎・土間下断熱","T:基礎壁の内側から土間床を貫通する断熱材の熱抵抗","N:基礎壁内側の断熱材の熱抵抗")</f>
        <v>N:基礎壁内側の断熱材の熱抵抗</v>
      </c>
      <c r="D135" s="284"/>
      <c r="E135" s="284"/>
      <c r="F135" s="286"/>
      <c r="G135" s="283" t="s">
        <v>486</v>
      </c>
      <c r="H135" s="284"/>
      <c r="I135" s="285" t="s">
        <v>490</v>
      </c>
      <c r="J135" s="285"/>
      <c r="K135" s="285"/>
      <c r="L135" s="113">
        <f>VLOOKUP(I135,Ψ値!$N$2:$O$8,2,FALSE)</f>
        <v>9999</v>
      </c>
    </row>
    <row r="136" spans="3:12" ht="20.25" customHeight="1" x14ac:dyDescent="0.15">
      <c r="C136" s="281" t="str">
        <f>IF(COUNTIF(I133,"*土間上*"),"Q:土間床上の断熱材の水平長さ","S:土間床下の断熱材の水平長さ")</f>
        <v>S:土間床下の断熱材の水平長さ</v>
      </c>
      <c r="D136" s="282"/>
      <c r="E136" s="282"/>
      <c r="F136" s="282"/>
      <c r="G136" s="283" t="s">
        <v>487</v>
      </c>
      <c r="H136" s="284"/>
      <c r="I136" s="285" t="s">
        <v>490</v>
      </c>
      <c r="J136" s="285"/>
      <c r="K136" s="285"/>
      <c r="L136" s="113">
        <f>IF(OR(I136=Ψ値!$B$3,I137=Ψ値!$E$3),3,VLOOKUP(I136,Ψ値!$B$2:$C$6,2,FALSE))</f>
        <v>9999</v>
      </c>
    </row>
    <row r="137" spans="3:12" ht="20.25" customHeight="1" thickBot="1" x14ac:dyDescent="0.2">
      <c r="C137" s="284" t="str">
        <f>IF(COUNTIF(I133,"*土間上*"),"O:土間床上の断熱材の熱抵抗","R:土間床下の断熱材の熱抵抗")</f>
        <v>R:土間床下の断熱材の熱抵抗</v>
      </c>
      <c r="D137" s="284"/>
      <c r="E137" s="284"/>
      <c r="F137" s="286"/>
      <c r="G137" s="283" t="s">
        <v>486</v>
      </c>
      <c r="H137" s="284"/>
      <c r="I137" s="285" t="s">
        <v>490</v>
      </c>
      <c r="J137" s="285"/>
      <c r="K137" s="285"/>
      <c r="L137" s="113">
        <f>IF(OR(I136=Ψ値!$B$3,I137=Ψ値!$E$3),0,VLOOKUP(I137,Ψ値!$E$2:$F$8,2,FALSE))</f>
        <v>9999</v>
      </c>
    </row>
    <row r="138" spans="3:12" ht="22.5" customHeight="1" thickTop="1" thickBot="1" x14ac:dyDescent="0.2">
      <c r="F138" s="287" t="s">
        <v>494</v>
      </c>
      <c r="G138" s="287"/>
      <c r="H138" s="288"/>
      <c r="I138" s="108" cm="1">
        <f t="array" ref="I138">IF(AND(K138&lt;=164,L138&lt;=18),INDEX(Ψ値!$A$1:$R$163,K138,L138),0.99)</f>
        <v>0.99</v>
      </c>
      <c r="K138" s="113">
        <f>SUM(L133:L135)</f>
        <v>29997</v>
      </c>
      <c r="L138" s="113">
        <f>SUM(L136:L137)</f>
        <v>19998</v>
      </c>
    </row>
    <row r="139" spans="3:12" ht="19.5" thickTop="1" x14ac:dyDescent="0.15"/>
  </sheetData>
  <sheetProtection algorithmName="SHA-512" hashValue="9Bw8EGPAbz6aRt2YX0mUpTpvbbd/xMaFBAgbsDsNubo0rX+LVWwmJiLvUtbjHceXYF8iC7SzfJm7pKR4P4z78g==" saltValue="MDFuHXJhA+v+NmYhRc/JHQ==" spinCount="100000" sheet="1" objects="1" scenarios="1"/>
  <mergeCells count="175">
    <mergeCell ref="F138:H138"/>
    <mergeCell ref="C136:F136"/>
    <mergeCell ref="G136:H136"/>
    <mergeCell ref="I136:K136"/>
    <mergeCell ref="C137:F137"/>
    <mergeCell ref="G137:H137"/>
    <mergeCell ref="I137:K137"/>
    <mergeCell ref="C134:F134"/>
    <mergeCell ref="G134:H134"/>
    <mergeCell ref="I134:K134"/>
    <mergeCell ref="C135:F135"/>
    <mergeCell ref="G135:H135"/>
    <mergeCell ref="I135:K135"/>
    <mergeCell ref="C129:F129"/>
    <mergeCell ref="G129:H129"/>
    <mergeCell ref="I129:K129"/>
    <mergeCell ref="F130:H130"/>
    <mergeCell ref="C133:F133"/>
    <mergeCell ref="G133:H133"/>
    <mergeCell ref="I133:K133"/>
    <mergeCell ref="G126:H126"/>
    <mergeCell ref="I126:K126"/>
    <mergeCell ref="C127:F127"/>
    <mergeCell ref="G127:H127"/>
    <mergeCell ref="I127:K127"/>
    <mergeCell ref="C128:F128"/>
    <mergeCell ref="G128:H128"/>
    <mergeCell ref="I128:K128"/>
    <mergeCell ref="C121:F121"/>
    <mergeCell ref="G121:H121"/>
    <mergeCell ref="I121:K121"/>
    <mergeCell ref="O121:O122"/>
    <mergeCell ref="F122:H122"/>
    <mergeCell ref="O124:O126"/>
    <mergeCell ref="C125:F125"/>
    <mergeCell ref="G125:H125"/>
    <mergeCell ref="I125:K125"/>
    <mergeCell ref="C126:F126"/>
    <mergeCell ref="N116:N119"/>
    <mergeCell ref="O116:O120"/>
    <mergeCell ref="C117:F117"/>
    <mergeCell ref="G117:H117"/>
    <mergeCell ref="I117:K117"/>
    <mergeCell ref="C118:F118"/>
    <mergeCell ref="C104:E104"/>
    <mergeCell ref="C105:E105"/>
    <mergeCell ref="C106:E106"/>
    <mergeCell ref="C107:E107"/>
    <mergeCell ref="C108:E108"/>
    <mergeCell ref="C109:E109"/>
    <mergeCell ref="G118:H118"/>
    <mergeCell ref="I118:K118"/>
    <mergeCell ref="C119:F119"/>
    <mergeCell ref="G119:H119"/>
    <mergeCell ref="I119:K119"/>
    <mergeCell ref="C120:F120"/>
    <mergeCell ref="G120:H120"/>
    <mergeCell ref="I120:K120"/>
    <mergeCell ref="C110:E110"/>
    <mergeCell ref="E111:G111"/>
    <mergeCell ref="E112:G112"/>
    <mergeCell ref="E113:G113"/>
    <mergeCell ref="C96:E96"/>
    <mergeCell ref="C97:E97"/>
    <mergeCell ref="E98:G98"/>
    <mergeCell ref="E99:G99"/>
    <mergeCell ref="E100:G100"/>
    <mergeCell ref="D103:F103"/>
    <mergeCell ref="D90:F90"/>
    <mergeCell ref="C91:E91"/>
    <mergeCell ref="C92:E92"/>
    <mergeCell ref="C93:E93"/>
    <mergeCell ref="C94:E94"/>
    <mergeCell ref="C95:E95"/>
    <mergeCell ref="C81:E81"/>
    <mergeCell ref="C82:E82"/>
    <mergeCell ref="C83:E83"/>
    <mergeCell ref="E84:G84"/>
    <mergeCell ref="E85:G85"/>
    <mergeCell ref="O85:O86"/>
    <mergeCell ref="E86:G86"/>
    <mergeCell ref="O75:O77"/>
    <mergeCell ref="D76:F76"/>
    <mergeCell ref="C77:E77"/>
    <mergeCell ref="C78:E78"/>
    <mergeCell ref="C79:E79"/>
    <mergeCell ref="C80:E80"/>
    <mergeCell ref="C68:E68"/>
    <mergeCell ref="C69:E69"/>
    <mergeCell ref="C70:E70"/>
    <mergeCell ref="E71:G71"/>
    <mergeCell ref="E72:G72"/>
    <mergeCell ref="O72:O73"/>
    <mergeCell ref="E73:G73"/>
    <mergeCell ref="O62:O63"/>
    <mergeCell ref="C64:E64"/>
    <mergeCell ref="C65:E65"/>
    <mergeCell ref="N65:N67"/>
    <mergeCell ref="O65:O67"/>
    <mergeCell ref="C66:E66"/>
    <mergeCell ref="C67:E67"/>
    <mergeCell ref="C55:E55"/>
    <mergeCell ref="C56:E56"/>
    <mergeCell ref="C57:E57"/>
    <mergeCell ref="E58:G58"/>
    <mergeCell ref="E59:G59"/>
    <mergeCell ref="O59:O60"/>
    <mergeCell ref="E60:G60"/>
    <mergeCell ref="O49:O50"/>
    <mergeCell ref="C51:E51"/>
    <mergeCell ref="C52:E52"/>
    <mergeCell ref="N52:N54"/>
    <mergeCell ref="O52:O54"/>
    <mergeCell ref="C53:E53"/>
    <mergeCell ref="C54:E54"/>
    <mergeCell ref="C43:E43"/>
    <mergeCell ref="C44:E44"/>
    <mergeCell ref="E45:G45"/>
    <mergeCell ref="E46:G46"/>
    <mergeCell ref="O46:O47"/>
    <mergeCell ref="E47:G47"/>
    <mergeCell ref="C39:E39"/>
    <mergeCell ref="N39:N41"/>
    <mergeCell ref="O39:O41"/>
    <mergeCell ref="C40:E40"/>
    <mergeCell ref="C41:E41"/>
    <mergeCell ref="C42:E42"/>
    <mergeCell ref="E32:G32"/>
    <mergeCell ref="E33:G33"/>
    <mergeCell ref="O33:O34"/>
    <mergeCell ref="E34:G34"/>
    <mergeCell ref="O36:O37"/>
    <mergeCell ref="C38:E38"/>
    <mergeCell ref="C27:E27"/>
    <mergeCell ref="O27:O29"/>
    <mergeCell ref="C28:E28"/>
    <mergeCell ref="C29:E29"/>
    <mergeCell ref="C30:E30"/>
    <mergeCell ref="C31:E31"/>
    <mergeCell ref="N21:N22"/>
    <mergeCell ref="O21:O22"/>
    <mergeCell ref="C23:E23"/>
    <mergeCell ref="C24:E24"/>
    <mergeCell ref="N24:N26"/>
    <mergeCell ref="O24:O26"/>
    <mergeCell ref="C25:E25"/>
    <mergeCell ref="C26:E26"/>
    <mergeCell ref="C16:E16"/>
    <mergeCell ref="O16:O18"/>
    <mergeCell ref="E17:G17"/>
    <mergeCell ref="N17:N18"/>
    <mergeCell ref="E18:G18"/>
    <mergeCell ref="E19:G19"/>
    <mergeCell ref="O19:O20"/>
    <mergeCell ref="C10:E10"/>
    <mergeCell ref="O10:O11"/>
    <mergeCell ref="C11:E11"/>
    <mergeCell ref="C12:E12"/>
    <mergeCell ref="N12:N15"/>
    <mergeCell ref="O12:O15"/>
    <mergeCell ref="C13:E13"/>
    <mergeCell ref="C14:E14"/>
    <mergeCell ref="C15:E15"/>
    <mergeCell ref="B4:D5"/>
    <mergeCell ref="N4:N5"/>
    <mergeCell ref="O4:O5"/>
    <mergeCell ref="B6:L6"/>
    <mergeCell ref="G7:K7"/>
    <mergeCell ref="O7:O9"/>
    <mergeCell ref="A1:J1"/>
    <mergeCell ref="K1:L1"/>
    <mergeCell ref="G2:K2"/>
    <mergeCell ref="N2:N3"/>
    <mergeCell ref="B3:D3"/>
    <mergeCell ref="E3:L3"/>
  </mergeCells>
  <phoneticPr fontId="2"/>
  <dataValidations count="6">
    <dataValidation type="list" allowBlank="1" showInputMessage="1" showErrorMessage="1" sqref="I118:K118 I126:K126 I134:K134" xr:uid="{AB25EDEF-E766-49FE-8A72-BEFDF74C4CEF}">
      <formula1>Mの選択肢</formula1>
    </dataValidation>
    <dataValidation type="list" allowBlank="1" showInputMessage="1" showErrorMessage="1" sqref="I117:K117 I125:K125 I133:K133" xr:uid="{A49D5B1F-A021-4B7F-9B4D-08CEF7B85488}">
      <formula1>基礎形状</formula1>
    </dataValidation>
    <dataValidation type="list" allowBlank="1" showInputMessage="1" showErrorMessage="1" sqref="I121:K121 I129:K129 I137:K137" xr:uid="{E76272C0-6925-4CBB-9CF0-21BDE14B98D9}">
      <formula1>ORの選択肢</formula1>
    </dataValidation>
    <dataValidation type="list" allowBlank="1" showInputMessage="1" showErrorMessage="1" sqref="I120:K120 I128:K128 I136:K136" xr:uid="{8488607F-9D7C-4636-851A-CDB4807030D6}">
      <formula1>QSの選択肢</formula1>
    </dataValidation>
    <dataValidation type="list" allowBlank="1" showInputMessage="1" showErrorMessage="1" sqref="I119:K119 I127:K127 I135:K135" xr:uid="{B692D109-B7D6-400D-B3DE-269969DFD3B4}">
      <formula1>NTの選択肢</formula1>
    </dataValidation>
    <dataValidation type="list" allowBlank="1" showInputMessage="1" showErrorMessage="1" sqref="F4:F5 H4:H5 J4:J5 L4:L5" xr:uid="{351534BB-B63F-4D02-8962-2A5001497EED}">
      <formula1>"適用する,-"</formula1>
    </dataValidation>
  </dataValidations>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65D2C-9E79-4B3C-97F6-DF47D93F5A7E}">
  <dimension ref="A1:T139"/>
  <sheetViews>
    <sheetView showGridLines="0" workbookViewId="0">
      <selection sqref="A1:J1"/>
    </sheetView>
  </sheetViews>
  <sheetFormatPr defaultRowHeight="18.75" x14ac:dyDescent="0.15"/>
  <cols>
    <col min="1" max="1" width="1" style="122" customWidth="1"/>
    <col min="2" max="2" width="1.5" style="119" customWidth="1"/>
    <col min="3" max="3" width="9" style="119"/>
    <col min="4" max="4" width="16" style="119" customWidth="1"/>
    <col min="5" max="5" width="8.125" style="119" customWidth="1"/>
    <col min="6" max="6" width="8.625" style="119" customWidth="1"/>
    <col min="7" max="7" width="8.125" style="119" customWidth="1"/>
    <col min="8" max="8" width="8.625" style="119" customWidth="1"/>
    <col min="9" max="9" width="8.125" style="119" customWidth="1"/>
    <col min="10" max="10" width="8.625" style="119" customWidth="1"/>
    <col min="11" max="11" width="8.125" style="122" customWidth="1"/>
    <col min="12" max="12" width="8.625" style="122" customWidth="1"/>
    <col min="13" max="13" width="0.625" style="122" customWidth="1"/>
    <col min="14" max="14" width="2.75" style="122" customWidth="1"/>
    <col min="15" max="15" width="63.25" style="121" customWidth="1"/>
  </cols>
  <sheetData>
    <row r="1" spans="1:20" ht="27" customHeight="1" thickTop="1" thickBot="1" x14ac:dyDescent="0.2">
      <c r="A1" s="317" t="s">
        <v>539</v>
      </c>
      <c r="B1" s="317"/>
      <c r="C1" s="317"/>
      <c r="D1" s="317"/>
      <c r="E1" s="317"/>
      <c r="F1" s="317"/>
      <c r="G1" s="317"/>
      <c r="H1" s="317"/>
      <c r="I1" s="317"/>
      <c r="J1" s="317"/>
      <c r="K1" s="324" t="s">
        <v>439</v>
      </c>
      <c r="L1" s="324"/>
      <c r="M1" s="116"/>
      <c r="N1" s="113"/>
      <c r="O1" s="117" t="s">
        <v>177</v>
      </c>
      <c r="P1" s="67"/>
      <c r="Q1" s="67"/>
      <c r="R1" s="67"/>
      <c r="S1" s="67"/>
      <c r="T1" s="67"/>
    </row>
    <row r="2" spans="1:20" s="3" customFormat="1" ht="4.5" customHeight="1" thickTop="1" thickBot="1" x14ac:dyDescent="0.2">
      <c r="A2" s="118"/>
      <c r="B2" s="119"/>
      <c r="C2" s="118"/>
      <c r="D2" s="118"/>
      <c r="E2" s="118"/>
      <c r="F2" s="118"/>
      <c r="G2" s="325"/>
      <c r="H2" s="325"/>
      <c r="I2" s="325"/>
      <c r="J2" s="325"/>
      <c r="K2" s="325"/>
      <c r="L2" s="119"/>
      <c r="M2" s="118"/>
      <c r="N2" s="309" t="s">
        <v>178</v>
      </c>
      <c r="O2" s="121"/>
      <c r="P2" s="68"/>
      <c r="Q2" s="68"/>
    </row>
    <row r="3" spans="1:20" s="2" customFormat="1" ht="18.75" customHeight="1" thickTop="1" thickBot="1" x14ac:dyDescent="0.2">
      <c r="A3" s="122"/>
      <c r="B3" s="318" t="s">
        <v>0</v>
      </c>
      <c r="C3" s="319"/>
      <c r="D3" s="320"/>
      <c r="E3" s="336"/>
      <c r="F3" s="336"/>
      <c r="G3" s="336"/>
      <c r="H3" s="336"/>
      <c r="I3" s="336"/>
      <c r="J3" s="336"/>
      <c r="K3" s="336"/>
      <c r="L3" s="336"/>
      <c r="M3" s="122"/>
      <c r="N3" s="309"/>
      <c r="O3" s="123" t="s">
        <v>399</v>
      </c>
    </row>
    <row r="4" spans="1:20" s="2" customFormat="1" ht="19.5" customHeight="1" thickTop="1" x14ac:dyDescent="0.15">
      <c r="A4" s="122"/>
      <c r="B4" s="328" t="s">
        <v>185</v>
      </c>
      <c r="C4" s="329"/>
      <c r="D4" s="330"/>
      <c r="E4" s="124" t="s">
        <v>168</v>
      </c>
      <c r="F4" s="31"/>
      <c r="G4" s="124" t="s">
        <v>169</v>
      </c>
      <c r="H4" s="31"/>
      <c r="I4" s="124" t="s">
        <v>170</v>
      </c>
      <c r="J4" s="31"/>
      <c r="K4" s="124" t="s">
        <v>171</v>
      </c>
      <c r="L4" s="31"/>
      <c r="M4" s="122"/>
      <c r="N4" s="309" t="s">
        <v>178</v>
      </c>
      <c r="O4" s="326" t="s">
        <v>176</v>
      </c>
    </row>
    <row r="5" spans="1:20" s="3" customFormat="1" ht="19.5" customHeight="1" thickBot="1" x14ac:dyDescent="0.2">
      <c r="A5" s="118"/>
      <c r="B5" s="331"/>
      <c r="C5" s="332"/>
      <c r="D5" s="333"/>
      <c r="E5" s="124" t="s">
        <v>172</v>
      </c>
      <c r="F5" s="31"/>
      <c r="G5" s="124" t="s">
        <v>173</v>
      </c>
      <c r="H5" s="31"/>
      <c r="I5" s="124" t="s">
        <v>174</v>
      </c>
      <c r="J5" s="31"/>
      <c r="K5" s="124" t="s">
        <v>175</v>
      </c>
      <c r="L5" s="31"/>
      <c r="M5" s="118"/>
      <c r="N5" s="309"/>
      <c r="O5" s="327"/>
      <c r="P5" s="68"/>
      <c r="Q5" s="68"/>
    </row>
    <row r="6" spans="1:20" s="3" customFormat="1" ht="45" customHeight="1" thickTop="1" x14ac:dyDescent="0.15">
      <c r="A6" s="118"/>
      <c r="B6" s="334" t="s">
        <v>527</v>
      </c>
      <c r="C6" s="334"/>
      <c r="D6" s="334"/>
      <c r="E6" s="334"/>
      <c r="F6" s="334"/>
      <c r="G6" s="334"/>
      <c r="H6" s="334"/>
      <c r="I6" s="334"/>
      <c r="J6" s="334"/>
      <c r="K6" s="334"/>
      <c r="L6" s="334"/>
      <c r="M6" s="118"/>
      <c r="N6" s="118"/>
      <c r="O6" s="121"/>
      <c r="P6" s="68"/>
      <c r="Q6" s="68"/>
    </row>
    <row r="7" spans="1:20" s="3" customFormat="1" ht="9.75" hidden="1" customHeight="1" thickTop="1" x14ac:dyDescent="0.15">
      <c r="A7" s="118"/>
      <c r="B7" s="119"/>
      <c r="C7" s="118"/>
      <c r="D7" s="118"/>
      <c r="E7" s="118"/>
      <c r="F7" s="118"/>
      <c r="G7" s="325"/>
      <c r="H7" s="325"/>
      <c r="I7" s="325"/>
      <c r="J7" s="325"/>
      <c r="K7" s="325"/>
      <c r="L7" s="119"/>
      <c r="M7" s="118"/>
      <c r="N7" s="118"/>
      <c r="O7" s="306" t="s">
        <v>472</v>
      </c>
      <c r="P7" s="68"/>
      <c r="Q7" s="68"/>
    </row>
    <row r="8" spans="1:20" ht="41.25" hidden="1" customHeight="1" x14ac:dyDescent="0.15">
      <c r="C8" s="119" t="s">
        <v>18</v>
      </c>
      <c r="H8" s="125" t="s">
        <v>167</v>
      </c>
      <c r="I8" s="125" t="s">
        <v>1</v>
      </c>
      <c r="J8" s="125" t="s">
        <v>15</v>
      </c>
      <c r="K8" s="125" t="s">
        <v>16</v>
      </c>
      <c r="L8" s="126"/>
      <c r="O8" s="307"/>
    </row>
    <row r="9" spans="1:20" ht="19.5" hidden="1" customHeight="1" thickBot="1" x14ac:dyDescent="0.2">
      <c r="C9" s="127"/>
      <c r="D9" s="127"/>
      <c r="E9" s="127"/>
      <c r="F9" s="127"/>
      <c r="G9" s="125" t="s">
        <v>2</v>
      </c>
      <c r="H9" s="128">
        <v>0.83</v>
      </c>
      <c r="I9" s="128">
        <v>0.17</v>
      </c>
      <c r="J9" s="129"/>
      <c r="K9" s="129"/>
      <c r="L9" s="130"/>
      <c r="N9" s="120" t="s">
        <v>178</v>
      </c>
      <c r="O9" s="308"/>
    </row>
    <row r="10" spans="1:20" ht="36" hidden="1" customHeight="1" thickTop="1" x14ac:dyDescent="0.15">
      <c r="C10" s="314" t="s">
        <v>3</v>
      </c>
      <c r="D10" s="315"/>
      <c r="E10" s="316"/>
      <c r="F10" s="125" t="s">
        <v>5</v>
      </c>
      <c r="G10" s="131" t="s">
        <v>4</v>
      </c>
      <c r="H10" s="125" t="s">
        <v>19</v>
      </c>
      <c r="I10" s="125" t="s">
        <v>19</v>
      </c>
      <c r="J10" s="125" t="s">
        <v>19</v>
      </c>
      <c r="K10" s="125" t="s">
        <v>19</v>
      </c>
      <c r="L10" s="126"/>
      <c r="N10" s="132"/>
      <c r="O10" s="306" t="s">
        <v>268</v>
      </c>
    </row>
    <row r="11" spans="1:20" ht="18.75" hidden="1" customHeight="1" thickBot="1" x14ac:dyDescent="0.2">
      <c r="C11" s="337" t="s">
        <v>6</v>
      </c>
      <c r="D11" s="338"/>
      <c r="E11" s="339"/>
      <c r="F11" s="133"/>
      <c r="G11" s="134"/>
      <c r="H11" s="135">
        <v>0.11</v>
      </c>
      <c r="I11" s="135">
        <v>0.11</v>
      </c>
      <c r="J11" s="136"/>
      <c r="K11" s="136"/>
      <c r="L11" s="127"/>
      <c r="N11" s="120" t="s">
        <v>178</v>
      </c>
      <c r="O11" s="308"/>
    </row>
    <row r="12" spans="1:20" ht="18.75" hidden="1" customHeight="1" thickTop="1" x14ac:dyDescent="0.15">
      <c r="C12" s="321" t="s">
        <v>7</v>
      </c>
      <c r="D12" s="322"/>
      <c r="E12" s="323"/>
      <c r="F12" s="137">
        <v>0.16</v>
      </c>
      <c r="G12" s="138">
        <v>12</v>
      </c>
      <c r="H12" s="139">
        <f>$G12/1000/$F12</f>
        <v>7.4999999999999997E-2</v>
      </c>
      <c r="I12" s="139">
        <f>$G12/1000/$F12</f>
        <v>7.4999999999999997E-2</v>
      </c>
      <c r="J12" s="140"/>
      <c r="K12" s="140"/>
      <c r="L12" s="127"/>
      <c r="N12" s="309" t="s">
        <v>178</v>
      </c>
      <c r="O12" s="306" t="s">
        <v>500</v>
      </c>
    </row>
    <row r="13" spans="1:20" ht="18.75" hidden="1" customHeight="1" x14ac:dyDescent="0.15">
      <c r="C13" s="321" t="s">
        <v>8</v>
      </c>
      <c r="D13" s="322"/>
      <c r="E13" s="323"/>
      <c r="F13" s="137">
        <v>4.4999999999999998E-2</v>
      </c>
      <c r="G13" s="138">
        <v>100</v>
      </c>
      <c r="H13" s="139">
        <f>$G13/1000/$F13</f>
        <v>2.2222222222222223</v>
      </c>
      <c r="I13" s="141"/>
      <c r="J13" s="140"/>
      <c r="K13" s="140"/>
      <c r="L13" s="127"/>
      <c r="N13" s="309"/>
      <c r="O13" s="307"/>
    </row>
    <row r="14" spans="1:20" ht="18.75" hidden="1" customHeight="1" x14ac:dyDescent="0.15">
      <c r="C14" s="321" t="s">
        <v>9</v>
      </c>
      <c r="D14" s="322"/>
      <c r="E14" s="323"/>
      <c r="F14" s="137">
        <v>0.12</v>
      </c>
      <c r="G14" s="138">
        <v>100</v>
      </c>
      <c r="H14" s="141"/>
      <c r="I14" s="139">
        <f>$G14/1000/$F14</f>
        <v>0.83333333333333337</v>
      </c>
      <c r="J14" s="140"/>
      <c r="K14" s="140"/>
      <c r="L14" s="127"/>
      <c r="N14" s="309"/>
      <c r="O14" s="307"/>
    </row>
    <row r="15" spans="1:20" ht="18.75" hidden="1" customHeight="1" thickBot="1" x14ac:dyDescent="0.2">
      <c r="C15" s="321" t="s">
        <v>162</v>
      </c>
      <c r="D15" s="322"/>
      <c r="E15" s="323"/>
      <c r="F15" s="137">
        <v>0.22</v>
      </c>
      <c r="G15" s="138">
        <v>12.5</v>
      </c>
      <c r="H15" s="139">
        <f>$G15/1000/$F15</f>
        <v>5.6818181818181823E-2</v>
      </c>
      <c r="I15" s="139">
        <f>$G15/1000/$F15</f>
        <v>5.6818181818181823E-2</v>
      </c>
      <c r="J15" s="140"/>
      <c r="K15" s="140"/>
      <c r="L15" s="127"/>
      <c r="N15" s="309"/>
      <c r="O15" s="308"/>
    </row>
    <row r="16" spans="1:20" ht="18.75" hidden="1" customHeight="1" thickTop="1" thickBot="1" x14ac:dyDescent="0.2">
      <c r="C16" s="335" t="s">
        <v>10</v>
      </c>
      <c r="D16" s="335"/>
      <c r="E16" s="335"/>
      <c r="F16" s="142"/>
      <c r="G16" s="143"/>
      <c r="H16" s="144">
        <v>0.11</v>
      </c>
      <c r="I16" s="144">
        <v>0.11</v>
      </c>
      <c r="J16" s="145"/>
      <c r="K16" s="145"/>
      <c r="L16" s="127"/>
      <c r="O16" s="306" t="s">
        <v>278</v>
      </c>
    </row>
    <row r="17" spans="3:16" ht="18.75" hidden="1" customHeight="1" thickTop="1" x14ac:dyDescent="0.15">
      <c r="D17" s="146"/>
      <c r="E17" s="304" t="s">
        <v>11</v>
      </c>
      <c r="F17" s="304"/>
      <c r="G17" s="304"/>
      <c r="H17" s="148">
        <f>SUM(H11:H16)</f>
        <v>2.5740404040404039</v>
      </c>
      <c r="I17" s="149">
        <f>SUM(I11:I16)</f>
        <v>1.1851515151515153</v>
      </c>
      <c r="J17" s="149">
        <f>SUM(J11:J16)</f>
        <v>0</v>
      </c>
      <c r="K17" s="149">
        <f>SUM(K11:K16)</f>
        <v>0</v>
      </c>
      <c r="L17" s="150"/>
      <c r="N17" s="309" t="s">
        <v>178</v>
      </c>
      <c r="O17" s="307"/>
    </row>
    <row r="18" spans="3:16" ht="18.75" hidden="1" customHeight="1" thickBot="1" x14ac:dyDescent="0.2">
      <c r="D18" s="151"/>
      <c r="E18" s="304" t="s">
        <v>12</v>
      </c>
      <c r="F18" s="304"/>
      <c r="G18" s="304"/>
      <c r="H18" s="152">
        <f>IF(H17&gt;0,1/H17,0)</f>
        <v>0.38849429031118787</v>
      </c>
      <c r="I18" s="153">
        <f t="shared" ref="I18:K18" si="0">IF(I17&gt;0,1/I17,0)</f>
        <v>0.84377397085144457</v>
      </c>
      <c r="J18" s="153">
        <f t="shared" si="0"/>
        <v>0</v>
      </c>
      <c r="K18" s="153">
        <f t="shared" si="0"/>
        <v>0</v>
      </c>
      <c r="L18" s="150"/>
      <c r="N18" s="309"/>
      <c r="O18" s="308"/>
    </row>
    <row r="19" spans="3:16" ht="22.5" hidden="1" customHeight="1" thickTop="1" thickBot="1" x14ac:dyDescent="0.2">
      <c r="D19" s="151"/>
      <c r="E19" s="287" t="s">
        <v>230</v>
      </c>
      <c r="F19" s="287"/>
      <c r="G19" s="288"/>
      <c r="H19" s="154">
        <f>IF(SUM(H9:K9)&gt;0,(H18*H9+I18*I9+J18*J9+K18*K9)/SUM(H9:K9),0)</f>
        <v>0.46589183600303152</v>
      </c>
      <c r="I19" s="150"/>
      <c r="J19" s="150"/>
      <c r="K19" s="150"/>
      <c r="L19" s="150"/>
      <c r="N19" s="120" t="s">
        <v>178</v>
      </c>
      <c r="O19" s="306" t="s">
        <v>471</v>
      </c>
    </row>
    <row r="20" spans="3:16" ht="5.25" hidden="1" customHeight="1" thickTop="1" thickBot="1" x14ac:dyDescent="0.2">
      <c r="D20" s="151"/>
      <c r="O20" s="308"/>
    </row>
    <row r="21" spans="3:16" ht="18.75" customHeight="1" x14ac:dyDescent="0.15">
      <c r="C21" s="155" t="s">
        <v>17</v>
      </c>
      <c r="D21" s="151"/>
      <c r="H21" s="125" t="s">
        <v>13</v>
      </c>
      <c r="I21" s="125" t="s">
        <v>14</v>
      </c>
      <c r="J21" s="125" t="s">
        <v>15</v>
      </c>
      <c r="K21" s="125" t="s">
        <v>16</v>
      </c>
      <c r="L21" s="126"/>
      <c r="N21" s="341"/>
      <c r="O21" s="340"/>
    </row>
    <row r="22" spans="3:16" ht="18.75" customHeight="1" x14ac:dyDescent="0.15">
      <c r="G22" s="131" t="s">
        <v>2</v>
      </c>
      <c r="H22" s="12"/>
      <c r="I22" s="12"/>
      <c r="J22" s="12"/>
      <c r="K22" s="12"/>
      <c r="L22" s="130"/>
      <c r="N22" s="341"/>
      <c r="O22" s="340"/>
    </row>
    <row r="23" spans="3:16" ht="33.75" customHeight="1" thickBot="1" x14ac:dyDescent="0.2">
      <c r="C23" s="314" t="s">
        <v>3</v>
      </c>
      <c r="D23" s="315"/>
      <c r="E23" s="316"/>
      <c r="F23" s="125" t="s">
        <v>5</v>
      </c>
      <c r="G23" s="131" t="s">
        <v>4</v>
      </c>
      <c r="H23" s="125" t="s">
        <v>19</v>
      </c>
      <c r="I23" s="125" t="s">
        <v>19</v>
      </c>
      <c r="J23" s="125" t="s">
        <v>19</v>
      </c>
      <c r="K23" s="125" t="s">
        <v>19</v>
      </c>
      <c r="L23" s="126"/>
    </row>
    <row r="24" spans="3:16" ht="18.75" customHeight="1" thickTop="1" x14ac:dyDescent="0.15">
      <c r="C24" s="295"/>
      <c r="D24" s="296"/>
      <c r="E24" s="297"/>
      <c r="F24" s="14"/>
      <c r="G24" s="15"/>
      <c r="H24" s="16"/>
      <c r="I24" s="16"/>
      <c r="J24" s="16"/>
      <c r="K24" s="16"/>
      <c r="L24" s="150"/>
      <c r="N24" s="310" t="s">
        <v>178</v>
      </c>
      <c r="O24" s="311" t="s">
        <v>518</v>
      </c>
    </row>
    <row r="25" spans="3:16" ht="18.75" customHeight="1" x14ac:dyDescent="0.15">
      <c r="C25" s="298"/>
      <c r="D25" s="299"/>
      <c r="E25" s="300"/>
      <c r="F25" s="17"/>
      <c r="G25" s="18"/>
      <c r="H25" s="19"/>
      <c r="I25" s="19"/>
      <c r="J25" s="19"/>
      <c r="K25" s="19"/>
      <c r="L25" s="150"/>
      <c r="N25" s="310"/>
      <c r="O25" s="312"/>
    </row>
    <row r="26" spans="3:16" ht="18.75" customHeight="1" thickBot="1" x14ac:dyDescent="0.2">
      <c r="C26" s="298"/>
      <c r="D26" s="299"/>
      <c r="E26" s="300"/>
      <c r="F26" s="17"/>
      <c r="G26" s="18"/>
      <c r="H26" s="19"/>
      <c r="I26" s="19"/>
      <c r="J26" s="19"/>
      <c r="K26" s="19"/>
      <c r="L26" s="150"/>
      <c r="N26" s="310"/>
      <c r="O26" s="313"/>
    </row>
    <row r="27" spans="3:16" ht="18.75" customHeight="1" thickTop="1" x14ac:dyDescent="0.15">
      <c r="C27" s="298"/>
      <c r="D27" s="299"/>
      <c r="E27" s="300"/>
      <c r="F27" s="17"/>
      <c r="G27" s="18"/>
      <c r="H27" s="19"/>
      <c r="I27" s="19"/>
      <c r="J27" s="19"/>
      <c r="K27" s="19"/>
      <c r="L27" s="150"/>
      <c r="O27" s="306" t="s">
        <v>493</v>
      </c>
    </row>
    <row r="28" spans="3:16" ht="18.75" customHeight="1" x14ac:dyDescent="0.15">
      <c r="C28" s="298"/>
      <c r="D28" s="299"/>
      <c r="E28" s="300"/>
      <c r="F28" s="17"/>
      <c r="G28" s="18"/>
      <c r="H28" s="19"/>
      <c r="I28" s="19"/>
      <c r="J28" s="19"/>
      <c r="K28" s="19"/>
      <c r="L28" s="150"/>
      <c r="O28" s="307"/>
    </row>
    <row r="29" spans="3:16" ht="18.75" customHeight="1" thickBot="1" x14ac:dyDescent="0.2">
      <c r="C29" s="298"/>
      <c r="D29" s="299"/>
      <c r="E29" s="300"/>
      <c r="F29" s="17"/>
      <c r="G29" s="18"/>
      <c r="H29" s="19"/>
      <c r="I29" s="19"/>
      <c r="J29" s="19"/>
      <c r="K29" s="19"/>
      <c r="L29" s="150"/>
      <c r="O29" s="308"/>
    </row>
    <row r="30" spans="3:16" ht="18.75" customHeight="1" thickTop="1" x14ac:dyDescent="0.15">
      <c r="C30" s="298"/>
      <c r="D30" s="299"/>
      <c r="E30" s="300"/>
      <c r="F30" s="17"/>
      <c r="G30" s="18"/>
      <c r="H30" s="19"/>
      <c r="I30" s="19"/>
      <c r="J30" s="19"/>
      <c r="K30" s="19"/>
      <c r="L30" s="150"/>
      <c r="P30" s="27"/>
    </row>
    <row r="31" spans="3:16" ht="18.75" customHeight="1" thickBot="1" x14ac:dyDescent="0.2">
      <c r="C31" s="301"/>
      <c r="D31" s="302"/>
      <c r="E31" s="303"/>
      <c r="F31" s="20"/>
      <c r="G31" s="21"/>
      <c r="H31" s="22"/>
      <c r="I31" s="22"/>
      <c r="J31" s="22"/>
      <c r="K31" s="22"/>
      <c r="L31" s="150"/>
    </row>
    <row r="32" spans="3:16" ht="18.75" customHeight="1" thickTop="1" thickBot="1" x14ac:dyDescent="0.2">
      <c r="D32" s="146"/>
      <c r="E32" s="304" t="s">
        <v>11</v>
      </c>
      <c r="F32" s="304"/>
      <c r="G32" s="304"/>
      <c r="H32" s="158">
        <f>SUM(H24:H31)</f>
        <v>0</v>
      </c>
      <c r="I32" s="158">
        <f>SUM(I24:I31)</f>
        <v>0</v>
      </c>
      <c r="J32" s="158">
        <f>SUM(J24:J31)</f>
        <v>0</v>
      </c>
      <c r="K32" s="158">
        <f>SUM(K24:K31)</f>
        <v>0</v>
      </c>
      <c r="L32" s="150"/>
    </row>
    <row r="33" spans="3:15" ht="18.75" customHeight="1" thickTop="1" thickBot="1" x14ac:dyDescent="0.2">
      <c r="D33" s="146"/>
      <c r="E33" s="304" t="s">
        <v>12</v>
      </c>
      <c r="F33" s="304"/>
      <c r="G33" s="304"/>
      <c r="H33" s="159">
        <f>IF(H32&gt;0,1/H32,0)</f>
        <v>0</v>
      </c>
      <c r="I33" s="160">
        <f t="shared" ref="I33:K33" si="1">IF(I32&gt;0,1/I32,0)</f>
        <v>0</v>
      </c>
      <c r="J33" s="160">
        <f t="shared" si="1"/>
        <v>0</v>
      </c>
      <c r="K33" s="160">
        <f t="shared" si="1"/>
        <v>0</v>
      </c>
      <c r="L33" s="150"/>
      <c r="O33" s="306" t="s">
        <v>467</v>
      </c>
    </row>
    <row r="34" spans="3:15" ht="22.5" customHeight="1" thickTop="1" thickBot="1" x14ac:dyDescent="0.2">
      <c r="D34" s="161"/>
      <c r="E34" s="287" t="s">
        <v>230</v>
      </c>
      <c r="F34" s="287"/>
      <c r="G34" s="288"/>
      <c r="H34" s="162">
        <f>IF(SUM(H22:K22)&gt;0,(H33*H22+I33*I22+J33*J22+K33*K22)/SUM(H22:K22),0)</f>
        <v>0</v>
      </c>
      <c r="I34" s="150" t="s">
        <v>423</v>
      </c>
      <c r="J34" s="150"/>
      <c r="K34" s="150"/>
      <c r="L34" s="150"/>
      <c r="N34" s="120" t="s">
        <v>178</v>
      </c>
      <c r="O34" s="308"/>
    </row>
    <row r="35" spans="3:15" ht="5.25" customHeight="1" thickTop="1" thickBot="1" x14ac:dyDescent="0.2">
      <c r="K35" s="119"/>
      <c r="L35" s="119"/>
    </row>
    <row r="36" spans="3:15" ht="18.75" customHeight="1" thickTop="1" x14ac:dyDescent="0.15">
      <c r="C36" s="155" t="s">
        <v>161</v>
      </c>
      <c r="D36" s="151"/>
      <c r="F36" s="127"/>
      <c r="G36" s="127"/>
      <c r="H36" s="125" t="s">
        <v>13</v>
      </c>
      <c r="I36" s="125" t="s">
        <v>14</v>
      </c>
      <c r="J36" s="125" t="s">
        <v>15</v>
      </c>
      <c r="K36" s="125" t="s">
        <v>16</v>
      </c>
      <c r="L36" s="126"/>
      <c r="N36" s="120" t="s">
        <v>178</v>
      </c>
      <c r="O36" s="306" t="s">
        <v>179</v>
      </c>
    </row>
    <row r="37" spans="3:15" ht="18.75" customHeight="1" thickBot="1" x14ac:dyDescent="0.2">
      <c r="C37" s="127"/>
      <c r="D37" s="127"/>
      <c r="E37" s="127"/>
      <c r="F37" s="127"/>
      <c r="G37" s="125" t="s">
        <v>2</v>
      </c>
      <c r="H37" s="12"/>
      <c r="I37" s="12"/>
      <c r="J37" s="12"/>
      <c r="K37" s="12"/>
      <c r="L37" s="130"/>
      <c r="N37" s="163"/>
      <c r="O37" s="308"/>
    </row>
    <row r="38" spans="3:15" ht="33.75" customHeight="1" thickTop="1" thickBot="1" x14ac:dyDescent="0.2">
      <c r="C38" s="314" t="s">
        <v>3</v>
      </c>
      <c r="D38" s="315"/>
      <c r="E38" s="316"/>
      <c r="F38" s="125" t="s">
        <v>5</v>
      </c>
      <c r="G38" s="131" t="s">
        <v>4</v>
      </c>
      <c r="H38" s="125" t="s">
        <v>19</v>
      </c>
      <c r="I38" s="125" t="s">
        <v>19</v>
      </c>
      <c r="J38" s="125" t="s">
        <v>19</v>
      </c>
      <c r="K38" s="125" t="s">
        <v>19</v>
      </c>
      <c r="L38" s="126"/>
    </row>
    <row r="39" spans="3:15" ht="18.75" customHeight="1" thickTop="1" x14ac:dyDescent="0.15">
      <c r="C39" s="295"/>
      <c r="D39" s="296"/>
      <c r="E39" s="297"/>
      <c r="F39" s="14"/>
      <c r="G39" s="15"/>
      <c r="H39" s="16"/>
      <c r="I39" s="16"/>
      <c r="J39" s="16"/>
      <c r="K39" s="16"/>
      <c r="L39" s="150"/>
      <c r="N39" s="310" t="s">
        <v>178</v>
      </c>
      <c r="O39" s="311" t="s">
        <v>519</v>
      </c>
    </row>
    <row r="40" spans="3:15" ht="18.75" customHeight="1" x14ac:dyDescent="0.15">
      <c r="C40" s="298"/>
      <c r="D40" s="299"/>
      <c r="E40" s="300"/>
      <c r="F40" s="17"/>
      <c r="G40" s="18"/>
      <c r="H40" s="19"/>
      <c r="I40" s="19"/>
      <c r="J40" s="19"/>
      <c r="K40" s="19"/>
      <c r="L40" s="150"/>
      <c r="N40" s="310"/>
      <c r="O40" s="312"/>
    </row>
    <row r="41" spans="3:15" ht="18.75" customHeight="1" thickBot="1" x14ac:dyDescent="0.2">
      <c r="C41" s="298"/>
      <c r="D41" s="299"/>
      <c r="E41" s="300"/>
      <c r="F41" s="17"/>
      <c r="G41" s="18"/>
      <c r="H41" s="19"/>
      <c r="I41" s="19"/>
      <c r="J41" s="19"/>
      <c r="K41" s="19"/>
      <c r="L41" s="150"/>
      <c r="N41" s="310"/>
      <c r="O41" s="313"/>
    </row>
    <row r="42" spans="3:15" ht="18.75" customHeight="1" thickTop="1" x14ac:dyDescent="0.15">
      <c r="C42" s="298"/>
      <c r="D42" s="299"/>
      <c r="E42" s="300"/>
      <c r="F42" s="17"/>
      <c r="G42" s="18"/>
      <c r="H42" s="19"/>
      <c r="I42" s="19"/>
      <c r="J42" s="19"/>
      <c r="K42" s="19"/>
      <c r="L42" s="150"/>
    </row>
    <row r="43" spans="3:15" ht="18.75" customHeight="1" x14ac:dyDescent="0.15">
      <c r="C43" s="298"/>
      <c r="D43" s="299"/>
      <c r="E43" s="300"/>
      <c r="F43" s="17"/>
      <c r="G43" s="18"/>
      <c r="H43" s="19"/>
      <c r="I43" s="19"/>
      <c r="J43" s="19"/>
      <c r="K43" s="19"/>
      <c r="L43" s="150"/>
    </row>
    <row r="44" spans="3:15" ht="18.75" customHeight="1" thickBot="1" x14ac:dyDescent="0.2">
      <c r="C44" s="301"/>
      <c r="D44" s="302"/>
      <c r="E44" s="303"/>
      <c r="F44" s="20"/>
      <c r="G44" s="21"/>
      <c r="H44" s="22"/>
      <c r="I44" s="22"/>
      <c r="J44" s="22"/>
      <c r="K44" s="22"/>
      <c r="L44" s="150"/>
    </row>
    <row r="45" spans="3:15" ht="18.75" customHeight="1" thickTop="1" thickBot="1" x14ac:dyDescent="0.2">
      <c r="D45" s="146"/>
      <c r="E45" s="304" t="s">
        <v>11</v>
      </c>
      <c r="F45" s="304"/>
      <c r="G45" s="304"/>
      <c r="H45" s="160">
        <f>SUM(H39:H44)</f>
        <v>0</v>
      </c>
      <c r="I45" s="160">
        <f>SUM(I39:I44)</f>
        <v>0</v>
      </c>
      <c r="J45" s="160">
        <f>SUM(J39:J44)</f>
        <v>0</v>
      </c>
      <c r="K45" s="160">
        <f>SUM(K39:K44)</f>
        <v>0</v>
      </c>
      <c r="L45" s="150"/>
    </row>
    <row r="46" spans="3:15" ht="18.75" customHeight="1" thickTop="1" thickBot="1" x14ac:dyDescent="0.2">
      <c r="D46" s="146"/>
      <c r="E46" s="304" t="s">
        <v>12</v>
      </c>
      <c r="F46" s="304"/>
      <c r="G46" s="304"/>
      <c r="H46" s="159">
        <f>IF(H45&gt;0,1/H45,0)</f>
        <v>0</v>
      </c>
      <c r="I46" s="160">
        <f t="shared" ref="I46:K46" si="2">IF(I45&gt;0,1/I45,0)</f>
        <v>0</v>
      </c>
      <c r="J46" s="160">
        <f t="shared" si="2"/>
        <v>0</v>
      </c>
      <c r="K46" s="160">
        <f t="shared" si="2"/>
        <v>0</v>
      </c>
      <c r="L46" s="150"/>
      <c r="O46" s="306" t="s">
        <v>466</v>
      </c>
    </row>
    <row r="47" spans="3:15" ht="22.5" customHeight="1" thickTop="1" thickBot="1" x14ac:dyDescent="0.2">
      <c r="D47" s="161"/>
      <c r="E47" s="287" t="s">
        <v>230</v>
      </c>
      <c r="F47" s="287"/>
      <c r="G47" s="288"/>
      <c r="H47" s="162">
        <f>IF(SUM(H37:K37)&gt;0,(H46*H37+I46*I37+J46*J37+K46*K37)/SUM(H37:K37),0)</f>
        <v>0</v>
      </c>
      <c r="I47" s="150" t="s">
        <v>423</v>
      </c>
      <c r="J47" s="150"/>
      <c r="K47" s="150"/>
      <c r="L47" s="150"/>
      <c r="N47" s="120" t="s">
        <v>178</v>
      </c>
      <c r="O47" s="308"/>
    </row>
    <row r="48" spans="3:15" ht="5.25" customHeight="1" thickTop="1" thickBot="1" x14ac:dyDescent="0.2">
      <c r="K48" s="119"/>
      <c r="L48" s="119"/>
    </row>
    <row r="49" spans="3:15" ht="18.75" customHeight="1" thickTop="1" x14ac:dyDescent="0.15">
      <c r="C49" s="155" t="s">
        <v>160</v>
      </c>
      <c r="D49" s="151"/>
      <c r="H49" s="131" t="s">
        <v>13</v>
      </c>
      <c r="I49" s="131" t="s">
        <v>14</v>
      </c>
      <c r="J49" s="131" t="s">
        <v>15</v>
      </c>
      <c r="K49" s="131" t="s">
        <v>16</v>
      </c>
      <c r="L49" s="164"/>
      <c r="N49" s="120" t="s">
        <v>178</v>
      </c>
      <c r="O49" s="306" t="s">
        <v>468</v>
      </c>
    </row>
    <row r="50" spans="3:15" ht="18.75" customHeight="1" thickBot="1" x14ac:dyDescent="0.2">
      <c r="G50" s="131" t="s">
        <v>2</v>
      </c>
      <c r="H50" s="12"/>
      <c r="I50" s="12"/>
      <c r="J50" s="12"/>
      <c r="K50" s="12"/>
      <c r="L50" s="130"/>
      <c r="N50" s="163"/>
      <c r="O50" s="308"/>
    </row>
    <row r="51" spans="3:15" ht="33.75" customHeight="1" thickTop="1" thickBot="1" x14ac:dyDescent="0.2">
      <c r="C51" s="314" t="s">
        <v>3</v>
      </c>
      <c r="D51" s="315"/>
      <c r="E51" s="316"/>
      <c r="F51" s="125" t="s">
        <v>5</v>
      </c>
      <c r="G51" s="131" t="s">
        <v>4</v>
      </c>
      <c r="H51" s="125" t="s">
        <v>19</v>
      </c>
      <c r="I51" s="125" t="s">
        <v>19</v>
      </c>
      <c r="J51" s="125" t="s">
        <v>19</v>
      </c>
      <c r="K51" s="125" t="s">
        <v>19</v>
      </c>
      <c r="L51" s="126"/>
    </row>
    <row r="52" spans="3:15" ht="18.75" customHeight="1" thickTop="1" x14ac:dyDescent="0.15">
      <c r="C52" s="295"/>
      <c r="D52" s="296"/>
      <c r="E52" s="297"/>
      <c r="F52" s="14"/>
      <c r="G52" s="15"/>
      <c r="H52" s="16"/>
      <c r="I52" s="16"/>
      <c r="J52" s="16"/>
      <c r="K52" s="16"/>
      <c r="L52" s="150"/>
      <c r="N52" s="310" t="s">
        <v>178</v>
      </c>
      <c r="O52" s="311" t="s">
        <v>520</v>
      </c>
    </row>
    <row r="53" spans="3:15" ht="18.75" customHeight="1" x14ac:dyDescent="0.15">
      <c r="C53" s="298"/>
      <c r="D53" s="299"/>
      <c r="E53" s="300"/>
      <c r="F53" s="17"/>
      <c r="G53" s="18"/>
      <c r="H53" s="19"/>
      <c r="I53" s="19"/>
      <c r="J53" s="19"/>
      <c r="K53" s="19"/>
      <c r="L53" s="150"/>
      <c r="N53" s="310"/>
      <c r="O53" s="312"/>
    </row>
    <row r="54" spans="3:15" ht="18.75" customHeight="1" thickBot="1" x14ac:dyDescent="0.2">
      <c r="C54" s="298"/>
      <c r="D54" s="299"/>
      <c r="E54" s="300"/>
      <c r="F54" s="17"/>
      <c r="G54" s="18"/>
      <c r="H54" s="19"/>
      <c r="I54" s="19"/>
      <c r="J54" s="19"/>
      <c r="K54" s="19"/>
      <c r="L54" s="150"/>
      <c r="N54" s="310"/>
      <c r="O54" s="313"/>
    </row>
    <row r="55" spans="3:15" ht="18.75" customHeight="1" thickTop="1" x14ac:dyDescent="0.15">
      <c r="C55" s="298"/>
      <c r="D55" s="299"/>
      <c r="E55" s="300"/>
      <c r="F55" s="17"/>
      <c r="G55" s="18"/>
      <c r="H55" s="19"/>
      <c r="I55" s="19"/>
      <c r="J55" s="19"/>
      <c r="K55" s="19"/>
      <c r="L55" s="150"/>
    </row>
    <row r="56" spans="3:15" ht="18.75" customHeight="1" x14ac:dyDescent="0.15">
      <c r="C56" s="298"/>
      <c r="D56" s="299"/>
      <c r="E56" s="300"/>
      <c r="F56" s="17"/>
      <c r="G56" s="18"/>
      <c r="H56" s="19"/>
      <c r="I56" s="19"/>
      <c r="J56" s="19"/>
      <c r="K56" s="19"/>
      <c r="L56" s="150"/>
    </row>
    <row r="57" spans="3:15" ht="18.75" customHeight="1" thickBot="1" x14ac:dyDescent="0.2">
      <c r="C57" s="301"/>
      <c r="D57" s="302"/>
      <c r="E57" s="303"/>
      <c r="F57" s="20"/>
      <c r="G57" s="21"/>
      <c r="H57" s="22"/>
      <c r="I57" s="22"/>
      <c r="J57" s="22"/>
      <c r="K57" s="22"/>
      <c r="L57" s="150"/>
    </row>
    <row r="58" spans="3:15" ht="18.75" customHeight="1" thickTop="1" thickBot="1" x14ac:dyDescent="0.2">
      <c r="D58" s="146"/>
      <c r="E58" s="304" t="s">
        <v>11</v>
      </c>
      <c r="F58" s="304"/>
      <c r="G58" s="304"/>
      <c r="H58" s="160">
        <f>SUM(H52:H57)</f>
        <v>0</v>
      </c>
      <c r="I58" s="160">
        <f>SUM(I52:I57)</f>
        <v>0</v>
      </c>
      <c r="J58" s="160">
        <f>SUM(J52:J57)</f>
        <v>0</v>
      </c>
      <c r="K58" s="160">
        <f>SUM(K52:K57)</f>
        <v>0</v>
      </c>
      <c r="L58" s="150"/>
    </row>
    <row r="59" spans="3:15" ht="18.75" customHeight="1" thickTop="1" thickBot="1" x14ac:dyDescent="0.2">
      <c r="D59" s="146"/>
      <c r="E59" s="304" t="s">
        <v>12</v>
      </c>
      <c r="F59" s="304"/>
      <c r="G59" s="304"/>
      <c r="H59" s="159">
        <f>IF(H58&gt;0,1/H58,0)</f>
        <v>0</v>
      </c>
      <c r="I59" s="160">
        <f t="shared" ref="I59:K59" si="3">IF(I58&gt;0,1/I58,0)</f>
        <v>0</v>
      </c>
      <c r="J59" s="160">
        <f t="shared" si="3"/>
        <v>0</v>
      </c>
      <c r="K59" s="160">
        <f t="shared" si="3"/>
        <v>0</v>
      </c>
      <c r="L59" s="150"/>
      <c r="O59" s="306" t="s">
        <v>469</v>
      </c>
    </row>
    <row r="60" spans="3:15" ht="22.5" customHeight="1" thickTop="1" thickBot="1" x14ac:dyDescent="0.2">
      <c r="D60" s="161"/>
      <c r="E60" s="287" t="s">
        <v>230</v>
      </c>
      <c r="F60" s="287"/>
      <c r="G60" s="288"/>
      <c r="H60" s="162">
        <f>IF(SUM(H50:K50)&gt;0,(H59*H50+I59*I50+J59*J50+K59*K50)/SUM(H50:K50),0)</f>
        <v>0</v>
      </c>
      <c r="I60" s="150" t="s">
        <v>423</v>
      </c>
      <c r="J60" s="150"/>
      <c r="K60" s="150"/>
      <c r="L60" s="150"/>
      <c r="N60" s="120" t="s">
        <v>178</v>
      </c>
      <c r="O60" s="308"/>
    </row>
    <row r="61" spans="3:15" ht="9" customHeight="1" thickTop="1" thickBot="1" x14ac:dyDescent="0.2">
      <c r="K61" s="119"/>
      <c r="L61" s="119"/>
    </row>
    <row r="62" spans="3:15" ht="18.75" customHeight="1" thickTop="1" x14ac:dyDescent="0.15">
      <c r="C62" s="155" t="s">
        <v>476</v>
      </c>
      <c r="D62" s="151"/>
      <c r="H62" s="131" t="s">
        <v>13</v>
      </c>
      <c r="I62" s="131" t="s">
        <v>14</v>
      </c>
      <c r="J62" s="131" t="s">
        <v>15</v>
      </c>
      <c r="K62" s="131" t="s">
        <v>16</v>
      </c>
      <c r="L62" s="164"/>
      <c r="N62" s="120" t="s">
        <v>178</v>
      </c>
      <c r="O62" s="306" t="s">
        <v>431</v>
      </c>
    </row>
    <row r="63" spans="3:15" ht="18.75" customHeight="1" thickBot="1" x14ac:dyDescent="0.2">
      <c r="G63" s="131" t="s">
        <v>2</v>
      </c>
      <c r="H63" s="12"/>
      <c r="I63" s="12"/>
      <c r="J63" s="12"/>
      <c r="K63" s="12"/>
      <c r="L63" s="130"/>
      <c r="N63" s="163"/>
      <c r="O63" s="308"/>
    </row>
    <row r="64" spans="3:15" ht="33.75" customHeight="1" thickTop="1" thickBot="1" x14ac:dyDescent="0.2">
      <c r="C64" s="314" t="s">
        <v>3</v>
      </c>
      <c r="D64" s="315"/>
      <c r="E64" s="316"/>
      <c r="F64" s="125" t="s">
        <v>5</v>
      </c>
      <c r="G64" s="131" t="s">
        <v>4</v>
      </c>
      <c r="H64" s="125" t="s">
        <v>19</v>
      </c>
      <c r="I64" s="125" t="s">
        <v>19</v>
      </c>
      <c r="J64" s="125" t="s">
        <v>19</v>
      </c>
      <c r="K64" s="125" t="s">
        <v>19</v>
      </c>
      <c r="L64" s="126"/>
    </row>
    <row r="65" spans="3:15" ht="18.75" customHeight="1" thickTop="1" x14ac:dyDescent="0.15">
      <c r="C65" s="295"/>
      <c r="D65" s="296"/>
      <c r="E65" s="297"/>
      <c r="F65" s="14"/>
      <c r="G65" s="15"/>
      <c r="H65" s="16"/>
      <c r="I65" s="16"/>
      <c r="J65" s="16"/>
      <c r="K65" s="16"/>
      <c r="L65" s="150"/>
      <c r="N65" s="310" t="s">
        <v>178</v>
      </c>
      <c r="O65" s="311" t="s">
        <v>521</v>
      </c>
    </row>
    <row r="66" spans="3:15" ht="18.75" customHeight="1" x14ac:dyDescent="0.15">
      <c r="C66" s="298"/>
      <c r="D66" s="299"/>
      <c r="E66" s="300"/>
      <c r="F66" s="17"/>
      <c r="G66" s="18"/>
      <c r="H66" s="19"/>
      <c r="I66" s="19"/>
      <c r="J66" s="19"/>
      <c r="K66" s="19"/>
      <c r="L66" s="150"/>
      <c r="N66" s="310"/>
      <c r="O66" s="312"/>
    </row>
    <row r="67" spans="3:15" ht="18.75" customHeight="1" thickBot="1" x14ac:dyDescent="0.2">
      <c r="C67" s="298"/>
      <c r="D67" s="299"/>
      <c r="E67" s="300"/>
      <c r="F67" s="17"/>
      <c r="G67" s="18"/>
      <c r="H67" s="19"/>
      <c r="I67" s="19"/>
      <c r="J67" s="19"/>
      <c r="K67" s="19"/>
      <c r="L67" s="150"/>
      <c r="N67" s="310"/>
      <c r="O67" s="313"/>
    </row>
    <row r="68" spans="3:15" ht="18.75" customHeight="1" thickTop="1" x14ac:dyDescent="0.15">
      <c r="C68" s="298"/>
      <c r="D68" s="299"/>
      <c r="E68" s="300"/>
      <c r="F68" s="17"/>
      <c r="G68" s="18"/>
      <c r="H68" s="19"/>
      <c r="I68" s="19"/>
      <c r="J68" s="19"/>
      <c r="K68" s="19"/>
      <c r="L68" s="150"/>
    </row>
    <row r="69" spans="3:15" ht="18.75" customHeight="1" x14ac:dyDescent="0.15">
      <c r="C69" s="298"/>
      <c r="D69" s="299"/>
      <c r="E69" s="300"/>
      <c r="F69" s="17"/>
      <c r="G69" s="18"/>
      <c r="H69" s="19"/>
      <c r="I69" s="19"/>
      <c r="J69" s="19"/>
      <c r="K69" s="19"/>
      <c r="L69" s="150"/>
    </row>
    <row r="70" spans="3:15" ht="18.75" customHeight="1" thickBot="1" x14ac:dyDescent="0.2">
      <c r="C70" s="301"/>
      <c r="D70" s="302"/>
      <c r="E70" s="303"/>
      <c r="F70" s="20"/>
      <c r="G70" s="21"/>
      <c r="H70" s="22"/>
      <c r="I70" s="22"/>
      <c r="J70" s="22"/>
      <c r="K70" s="22"/>
      <c r="L70" s="150"/>
    </row>
    <row r="71" spans="3:15" ht="18.75" customHeight="1" thickTop="1" thickBot="1" x14ac:dyDescent="0.2">
      <c r="D71" s="146"/>
      <c r="E71" s="304" t="s">
        <v>11</v>
      </c>
      <c r="F71" s="304"/>
      <c r="G71" s="304"/>
      <c r="H71" s="160">
        <f>SUM(H65:H70)</f>
        <v>0</v>
      </c>
      <c r="I71" s="160">
        <f>SUM(I65:I70)</f>
        <v>0</v>
      </c>
      <c r="J71" s="160">
        <f>SUM(J65:J70)</f>
        <v>0</v>
      </c>
      <c r="K71" s="160">
        <f>SUM(K65:K70)</f>
        <v>0</v>
      </c>
      <c r="L71" s="150"/>
    </row>
    <row r="72" spans="3:15" ht="18.75" customHeight="1" thickTop="1" thickBot="1" x14ac:dyDescent="0.2">
      <c r="D72" s="146"/>
      <c r="E72" s="304" t="s">
        <v>12</v>
      </c>
      <c r="F72" s="304"/>
      <c r="G72" s="304"/>
      <c r="H72" s="159">
        <f>IF(H71&gt;0,1/H71,0)</f>
        <v>0</v>
      </c>
      <c r="I72" s="160">
        <f t="shared" ref="I72:K72" si="4">IF(I71&gt;0,1/I71,0)</f>
        <v>0</v>
      </c>
      <c r="J72" s="160">
        <f t="shared" si="4"/>
        <v>0</v>
      </c>
      <c r="K72" s="160">
        <f t="shared" si="4"/>
        <v>0</v>
      </c>
      <c r="L72" s="150"/>
      <c r="O72" s="306" t="s">
        <v>470</v>
      </c>
    </row>
    <row r="73" spans="3:15" ht="22.5" customHeight="1" thickTop="1" thickBot="1" x14ac:dyDescent="0.2">
      <c r="D73" s="161"/>
      <c r="E73" s="287" t="s">
        <v>230</v>
      </c>
      <c r="F73" s="287"/>
      <c r="G73" s="288"/>
      <c r="H73" s="162">
        <f>IF(SUM(H63:K63)&gt;0,(H72*H63+I72*I63+J72*J63+K72*K63)/SUM(H63:K63),0)</f>
        <v>0</v>
      </c>
      <c r="I73" s="150" t="s">
        <v>423</v>
      </c>
      <c r="J73" s="150"/>
      <c r="K73" s="150"/>
      <c r="L73" s="150"/>
      <c r="N73" s="120" t="s">
        <v>178</v>
      </c>
      <c r="O73" s="308"/>
    </row>
    <row r="74" spans="3:15" ht="9" customHeight="1" thickTop="1" thickBot="1" x14ac:dyDescent="0.2">
      <c r="K74" s="119"/>
      <c r="L74" s="119"/>
    </row>
    <row r="75" spans="3:15" ht="18.75" customHeight="1" thickTop="1" x14ac:dyDescent="0.15">
      <c r="C75" s="155" t="s">
        <v>478</v>
      </c>
      <c r="H75" s="131" t="s">
        <v>13</v>
      </c>
      <c r="I75" s="131" t="s">
        <v>14</v>
      </c>
      <c r="J75" s="131" t="s">
        <v>15</v>
      </c>
      <c r="K75" s="131" t="s">
        <v>16</v>
      </c>
      <c r="L75" s="164"/>
      <c r="N75" s="120" t="s">
        <v>178</v>
      </c>
      <c r="O75" s="306" t="s">
        <v>503</v>
      </c>
    </row>
    <row r="76" spans="3:15" ht="18.75" customHeight="1" x14ac:dyDescent="0.15">
      <c r="C76" s="165" t="s">
        <v>20</v>
      </c>
      <c r="D76" s="289" t="s">
        <v>432</v>
      </c>
      <c r="E76" s="290"/>
      <c r="F76" s="291"/>
      <c r="G76" s="131" t="s">
        <v>2</v>
      </c>
      <c r="H76" s="12"/>
      <c r="I76" s="12"/>
      <c r="J76" s="12"/>
      <c r="K76" s="12"/>
      <c r="L76" s="130"/>
      <c r="N76" s="156"/>
      <c r="O76" s="307"/>
    </row>
    <row r="77" spans="3:15" ht="33.75" customHeight="1" thickBot="1" x14ac:dyDescent="0.2">
      <c r="C77" s="292" t="s">
        <v>3</v>
      </c>
      <c r="D77" s="293"/>
      <c r="E77" s="294"/>
      <c r="F77" s="125" t="s">
        <v>5</v>
      </c>
      <c r="G77" s="131" t="s">
        <v>4</v>
      </c>
      <c r="H77" s="125" t="s">
        <v>19</v>
      </c>
      <c r="I77" s="125" t="s">
        <v>19</v>
      </c>
      <c r="J77" s="125" t="s">
        <v>19</v>
      </c>
      <c r="K77" s="125" t="s">
        <v>19</v>
      </c>
      <c r="L77" s="126"/>
      <c r="O77" s="308"/>
    </row>
    <row r="78" spans="3:15" ht="18.75" customHeight="1" thickTop="1" x14ac:dyDescent="0.15">
      <c r="C78" s="295"/>
      <c r="D78" s="296"/>
      <c r="E78" s="297"/>
      <c r="F78" s="14"/>
      <c r="G78" s="15"/>
      <c r="H78" s="16"/>
      <c r="I78" s="16"/>
      <c r="J78" s="16"/>
      <c r="K78" s="16"/>
      <c r="L78" s="150"/>
    </row>
    <row r="79" spans="3:15" ht="18.75" customHeight="1" x14ac:dyDescent="0.15">
      <c r="C79" s="298"/>
      <c r="D79" s="299"/>
      <c r="E79" s="300"/>
      <c r="F79" s="17"/>
      <c r="G79" s="18"/>
      <c r="H79" s="19"/>
      <c r="I79" s="19"/>
      <c r="J79" s="19"/>
      <c r="K79" s="19"/>
      <c r="L79" s="150"/>
    </row>
    <row r="80" spans="3:15" ht="18.75" customHeight="1" x14ac:dyDescent="0.15">
      <c r="C80" s="298"/>
      <c r="D80" s="299"/>
      <c r="E80" s="300"/>
      <c r="F80" s="17"/>
      <c r="G80" s="18"/>
      <c r="H80" s="19"/>
      <c r="I80" s="19"/>
      <c r="J80" s="19"/>
      <c r="K80" s="19"/>
      <c r="L80" s="150"/>
    </row>
    <row r="81" spans="3:15" ht="18.75" customHeight="1" x14ac:dyDescent="0.15">
      <c r="C81" s="298"/>
      <c r="D81" s="299"/>
      <c r="E81" s="300"/>
      <c r="F81" s="17"/>
      <c r="G81" s="18"/>
      <c r="H81" s="19"/>
      <c r="I81" s="19"/>
      <c r="J81" s="19"/>
      <c r="K81" s="19"/>
      <c r="L81" s="150"/>
    </row>
    <row r="82" spans="3:15" ht="18.75" customHeight="1" x14ac:dyDescent="0.15">
      <c r="C82" s="298"/>
      <c r="D82" s="299"/>
      <c r="E82" s="300"/>
      <c r="F82" s="17"/>
      <c r="G82" s="18"/>
      <c r="H82" s="19"/>
      <c r="I82" s="19"/>
      <c r="J82" s="19"/>
      <c r="K82" s="19"/>
      <c r="L82" s="150"/>
    </row>
    <row r="83" spans="3:15" ht="18.75" customHeight="1" thickBot="1" x14ac:dyDescent="0.2">
      <c r="C83" s="301"/>
      <c r="D83" s="302"/>
      <c r="E83" s="303"/>
      <c r="F83" s="20"/>
      <c r="G83" s="21"/>
      <c r="H83" s="22"/>
      <c r="I83" s="22"/>
      <c r="J83" s="22"/>
      <c r="K83" s="22"/>
      <c r="L83" s="150"/>
    </row>
    <row r="84" spans="3:15" ht="18.75" customHeight="1" thickTop="1" thickBot="1" x14ac:dyDescent="0.2">
      <c r="D84" s="146"/>
      <c r="E84" s="304" t="s">
        <v>11</v>
      </c>
      <c r="F84" s="304"/>
      <c r="G84" s="304"/>
      <c r="H84" s="160">
        <f>SUM(H78:H83)</f>
        <v>0</v>
      </c>
      <c r="I84" s="160">
        <f>SUM(I78:I83)</f>
        <v>0</v>
      </c>
      <c r="J84" s="160">
        <f>SUM(J78:J83)</f>
        <v>0</v>
      </c>
      <c r="K84" s="160">
        <f>SUM(K78:K83)</f>
        <v>0</v>
      </c>
      <c r="L84" s="150"/>
    </row>
    <row r="85" spans="3:15" ht="18.75" customHeight="1" thickTop="1" thickBot="1" x14ac:dyDescent="0.2">
      <c r="D85" s="146"/>
      <c r="E85" s="304" t="s">
        <v>12</v>
      </c>
      <c r="F85" s="304"/>
      <c r="G85" s="304"/>
      <c r="H85" s="159">
        <f>IF(H84&gt;0,1/H84,0)</f>
        <v>0</v>
      </c>
      <c r="I85" s="160">
        <f t="shared" ref="I85:K85" si="5">IF(I84&gt;0,1/I84,0)</f>
        <v>0</v>
      </c>
      <c r="J85" s="160">
        <f t="shared" si="5"/>
        <v>0</v>
      </c>
      <c r="K85" s="160">
        <f t="shared" si="5"/>
        <v>0</v>
      </c>
      <c r="L85" s="150"/>
      <c r="O85" s="306" t="s">
        <v>479</v>
      </c>
    </row>
    <row r="86" spans="3:15" ht="22.5" customHeight="1" thickTop="1" thickBot="1" x14ac:dyDescent="0.2">
      <c r="D86" s="161"/>
      <c r="E86" s="287" t="s">
        <v>230</v>
      </c>
      <c r="F86" s="287"/>
      <c r="G86" s="288"/>
      <c r="H86" s="162">
        <f>IF(SUM(H76:K76)&gt;0,(H85*H76+I85*I76+J85*J76+K85*K76)/SUM(H76:K76),0)</f>
        <v>0</v>
      </c>
      <c r="I86" s="150"/>
      <c r="J86" s="150"/>
      <c r="K86" s="150"/>
      <c r="L86" s="150"/>
      <c r="N86" s="120" t="s">
        <v>178</v>
      </c>
      <c r="O86" s="308"/>
    </row>
    <row r="87" spans="3:15" ht="7.5" customHeight="1" thickTop="1" x14ac:dyDescent="0.15">
      <c r="K87" s="119"/>
      <c r="L87" s="119"/>
    </row>
    <row r="88" spans="3:15" ht="9" customHeight="1" x14ac:dyDescent="0.15">
      <c r="K88" s="119"/>
      <c r="L88" s="119"/>
    </row>
    <row r="89" spans="3:15" ht="18.75" customHeight="1" x14ac:dyDescent="0.15">
      <c r="C89" s="155" t="s">
        <v>497</v>
      </c>
      <c r="H89" s="131" t="s">
        <v>13</v>
      </c>
      <c r="I89" s="131" t="s">
        <v>14</v>
      </c>
      <c r="J89" s="131" t="s">
        <v>15</v>
      </c>
      <c r="K89" s="131" t="s">
        <v>16</v>
      </c>
      <c r="L89" s="164"/>
    </row>
    <row r="90" spans="3:15" ht="18.75" customHeight="1" x14ac:dyDescent="0.15">
      <c r="C90" s="165" t="s">
        <v>20</v>
      </c>
      <c r="D90" s="289" t="s">
        <v>432</v>
      </c>
      <c r="E90" s="290"/>
      <c r="F90" s="291"/>
      <c r="G90" s="131" t="s">
        <v>2</v>
      </c>
      <c r="H90" s="12"/>
      <c r="I90" s="12"/>
      <c r="J90" s="12"/>
      <c r="K90" s="12"/>
      <c r="L90" s="130"/>
    </row>
    <row r="91" spans="3:15" ht="33.75" customHeight="1" x14ac:dyDescent="0.15">
      <c r="C91" s="292" t="s">
        <v>3</v>
      </c>
      <c r="D91" s="293"/>
      <c r="E91" s="294"/>
      <c r="F91" s="125" t="s">
        <v>5</v>
      </c>
      <c r="G91" s="131" t="s">
        <v>4</v>
      </c>
      <c r="H91" s="125" t="s">
        <v>19</v>
      </c>
      <c r="I91" s="125" t="s">
        <v>19</v>
      </c>
      <c r="J91" s="125" t="s">
        <v>19</v>
      </c>
      <c r="K91" s="125" t="s">
        <v>19</v>
      </c>
      <c r="L91" s="126"/>
    </row>
    <row r="92" spans="3:15" ht="18.75" customHeight="1" x14ac:dyDescent="0.15">
      <c r="C92" s="295"/>
      <c r="D92" s="296"/>
      <c r="E92" s="297"/>
      <c r="F92" s="14"/>
      <c r="G92" s="15"/>
      <c r="H92" s="16"/>
      <c r="I92" s="16"/>
      <c r="J92" s="16"/>
      <c r="K92" s="16"/>
      <c r="L92" s="150"/>
    </row>
    <row r="93" spans="3:15" ht="18.75" customHeight="1" x14ac:dyDescent="0.15">
      <c r="C93" s="298"/>
      <c r="D93" s="299"/>
      <c r="E93" s="300"/>
      <c r="F93" s="17"/>
      <c r="G93" s="18"/>
      <c r="H93" s="19"/>
      <c r="I93" s="19"/>
      <c r="J93" s="19"/>
      <c r="K93" s="19"/>
      <c r="L93" s="150"/>
    </row>
    <row r="94" spans="3:15" ht="18.75" customHeight="1" x14ac:dyDescent="0.15">
      <c r="C94" s="298"/>
      <c r="D94" s="299"/>
      <c r="E94" s="300"/>
      <c r="F94" s="17"/>
      <c r="G94" s="18"/>
      <c r="H94" s="19"/>
      <c r="I94" s="19"/>
      <c r="J94" s="19"/>
      <c r="K94" s="19"/>
      <c r="L94" s="150"/>
    </row>
    <row r="95" spans="3:15" ht="18.75" customHeight="1" x14ac:dyDescent="0.15">
      <c r="C95" s="298"/>
      <c r="D95" s="299"/>
      <c r="E95" s="300"/>
      <c r="F95" s="17"/>
      <c r="G95" s="18"/>
      <c r="H95" s="19"/>
      <c r="I95" s="19"/>
      <c r="J95" s="19"/>
      <c r="K95" s="19"/>
      <c r="L95" s="150"/>
    </row>
    <row r="96" spans="3:15" ht="18.75" customHeight="1" x14ac:dyDescent="0.15">
      <c r="C96" s="298"/>
      <c r="D96" s="299"/>
      <c r="E96" s="300"/>
      <c r="F96" s="17"/>
      <c r="G96" s="18"/>
      <c r="H96" s="19"/>
      <c r="I96" s="19"/>
      <c r="J96" s="19"/>
      <c r="K96" s="19"/>
      <c r="L96" s="150"/>
    </row>
    <row r="97" spans="3:12" ht="18.75" customHeight="1" thickBot="1" x14ac:dyDescent="0.2">
      <c r="C97" s="301"/>
      <c r="D97" s="302"/>
      <c r="E97" s="303"/>
      <c r="F97" s="20"/>
      <c r="G97" s="21"/>
      <c r="H97" s="22"/>
      <c r="I97" s="22"/>
      <c r="J97" s="22"/>
      <c r="K97" s="22"/>
      <c r="L97" s="150"/>
    </row>
    <row r="98" spans="3:12" ht="18.75" customHeight="1" thickTop="1" x14ac:dyDescent="0.15">
      <c r="D98" s="146"/>
      <c r="E98" s="304" t="s">
        <v>11</v>
      </c>
      <c r="F98" s="304"/>
      <c r="G98" s="304"/>
      <c r="H98" s="160">
        <f>SUM(H92:H97)</f>
        <v>0</v>
      </c>
      <c r="I98" s="160">
        <f>SUM(I92:I97)</f>
        <v>0</v>
      </c>
      <c r="J98" s="160">
        <f>SUM(J92:J97)</f>
        <v>0</v>
      </c>
      <c r="K98" s="160">
        <f>SUM(K92:K97)</f>
        <v>0</v>
      </c>
      <c r="L98" s="150"/>
    </row>
    <row r="99" spans="3:12" ht="18.75" customHeight="1" thickBot="1" x14ac:dyDescent="0.2">
      <c r="D99" s="146"/>
      <c r="E99" s="304" t="s">
        <v>12</v>
      </c>
      <c r="F99" s="304"/>
      <c r="G99" s="304"/>
      <c r="H99" s="159">
        <f>IF(H98&gt;0,1/H98,0)</f>
        <v>0</v>
      </c>
      <c r="I99" s="160">
        <f t="shared" ref="I99:K99" si="6">IF(I98&gt;0,1/I98,0)</f>
        <v>0</v>
      </c>
      <c r="J99" s="160">
        <f t="shared" si="6"/>
        <v>0</v>
      </c>
      <c r="K99" s="160">
        <f t="shared" si="6"/>
        <v>0</v>
      </c>
      <c r="L99" s="150"/>
    </row>
    <row r="100" spans="3:12" ht="22.5" customHeight="1" thickTop="1" thickBot="1" x14ac:dyDescent="0.2">
      <c r="D100" s="161"/>
      <c r="E100" s="287" t="s">
        <v>230</v>
      </c>
      <c r="F100" s="287"/>
      <c r="G100" s="288"/>
      <c r="H100" s="162">
        <f>IF(SUM(H90:K90)&gt;0,(H99*H90+I99*I90+J99*J90+K99*K90)/SUM(H90:K90),0)</f>
        <v>0</v>
      </c>
      <c r="I100" s="150"/>
      <c r="J100" s="150"/>
      <c r="K100" s="150"/>
      <c r="L100" s="150"/>
    </row>
    <row r="101" spans="3:12" ht="9" customHeight="1" thickTop="1" x14ac:dyDescent="0.15">
      <c r="K101" s="119"/>
      <c r="L101" s="119"/>
    </row>
    <row r="102" spans="3:12" ht="18.75" customHeight="1" x14ac:dyDescent="0.15">
      <c r="C102" s="155" t="s">
        <v>498</v>
      </c>
      <c r="H102" s="131" t="s">
        <v>13</v>
      </c>
      <c r="I102" s="131" t="s">
        <v>14</v>
      </c>
      <c r="J102" s="131" t="s">
        <v>15</v>
      </c>
      <c r="K102" s="131" t="s">
        <v>16</v>
      </c>
      <c r="L102" s="164"/>
    </row>
    <row r="103" spans="3:12" ht="18.75" customHeight="1" x14ac:dyDescent="0.15">
      <c r="C103" s="165" t="s">
        <v>20</v>
      </c>
      <c r="D103" s="289" t="s">
        <v>432</v>
      </c>
      <c r="E103" s="290"/>
      <c r="F103" s="291"/>
      <c r="G103" s="131" t="s">
        <v>2</v>
      </c>
      <c r="H103" s="12"/>
      <c r="I103" s="12"/>
      <c r="J103" s="12"/>
      <c r="K103" s="12"/>
      <c r="L103" s="130"/>
    </row>
    <row r="104" spans="3:12" ht="33.75" customHeight="1" x14ac:dyDescent="0.15">
      <c r="C104" s="292" t="s">
        <v>3</v>
      </c>
      <c r="D104" s="293"/>
      <c r="E104" s="294"/>
      <c r="F104" s="125" t="s">
        <v>5</v>
      </c>
      <c r="G104" s="131" t="s">
        <v>4</v>
      </c>
      <c r="H104" s="125" t="s">
        <v>19</v>
      </c>
      <c r="I104" s="125" t="s">
        <v>19</v>
      </c>
      <c r="J104" s="125" t="s">
        <v>19</v>
      </c>
      <c r="K104" s="125" t="s">
        <v>19</v>
      </c>
      <c r="L104" s="126"/>
    </row>
    <row r="105" spans="3:12" ht="18.75" customHeight="1" x14ac:dyDescent="0.15">
      <c r="C105" s="295"/>
      <c r="D105" s="296"/>
      <c r="E105" s="297"/>
      <c r="F105" s="14"/>
      <c r="G105" s="15"/>
      <c r="H105" s="16"/>
      <c r="I105" s="16"/>
      <c r="J105" s="16"/>
      <c r="K105" s="16"/>
      <c r="L105" s="150"/>
    </row>
    <row r="106" spans="3:12" ht="18.75" customHeight="1" x14ac:dyDescent="0.15">
      <c r="C106" s="298"/>
      <c r="D106" s="299"/>
      <c r="E106" s="300"/>
      <c r="F106" s="17"/>
      <c r="G106" s="18"/>
      <c r="H106" s="19"/>
      <c r="I106" s="19"/>
      <c r="J106" s="19"/>
      <c r="K106" s="19"/>
      <c r="L106" s="150"/>
    </row>
    <row r="107" spans="3:12" ht="18.75" customHeight="1" x14ac:dyDescent="0.15">
      <c r="C107" s="298"/>
      <c r="D107" s="299"/>
      <c r="E107" s="300"/>
      <c r="F107" s="17"/>
      <c r="G107" s="18"/>
      <c r="H107" s="19"/>
      <c r="I107" s="19"/>
      <c r="J107" s="19"/>
      <c r="K107" s="19"/>
      <c r="L107" s="150"/>
    </row>
    <row r="108" spans="3:12" ht="18.75" customHeight="1" x14ac:dyDescent="0.15">
      <c r="C108" s="298"/>
      <c r="D108" s="299"/>
      <c r="E108" s="300"/>
      <c r="F108" s="17"/>
      <c r="G108" s="18"/>
      <c r="H108" s="19"/>
      <c r="I108" s="19"/>
      <c r="J108" s="19"/>
      <c r="K108" s="19"/>
      <c r="L108" s="150"/>
    </row>
    <row r="109" spans="3:12" ht="18.75" customHeight="1" x14ac:dyDescent="0.15">
      <c r="C109" s="298"/>
      <c r="D109" s="299"/>
      <c r="E109" s="300"/>
      <c r="F109" s="17"/>
      <c r="G109" s="18"/>
      <c r="H109" s="19"/>
      <c r="I109" s="19"/>
      <c r="J109" s="19"/>
      <c r="K109" s="19"/>
      <c r="L109" s="150"/>
    </row>
    <row r="110" spans="3:12" ht="18.75" customHeight="1" thickBot="1" x14ac:dyDescent="0.2">
      <c r="C110" s="301"/>
      <c r="D110" s="302"/>
      <c r="E110" s="303"/>
      <c r="F110" s="20"/>
      <c r="G110" s="21"/>
      <c r="H110" s="22"/>
      <c r="I110" s="22"/>
      <c r="J110" s="22"/>
      <c r="K110" s="22"/>
      <c r="L110" s="150"/>
    </row>
    <row r="111" spans="3:12" ht="18.75" customHeight="1" thickTop="1" x14ac:dyDescent="0.15">
      <c r="D111" s="146"/>
      <c r="E111" s="304" t="s">
        <v>11</v>
      </c>
      <c r="F111" s="304"/>
      <c r="G111" s="304"/>
      <c r="H111" s="160">
        <f>SUM(H105:H110)</f>
        <v>0</v>
      </c>
      <c r="I111" s="160">
        <f>SUM(I105:I110)</f>
        <v>0</v>
      </c>
      <c r="J111" s="160">
        <f>SUM(J105:J110)</f>
        <v>0</v>
      </c>
      <c r="K111" s="160">
        <f>SUM(K105:K110)</f>
        <v>0</v>
      </c>
      <c r="L111" s="150"/>
    </row>
    <row r="112" spans="3:12" ht="18.75" customHeight="1" thickBot="1" x14ac:dyDescent="0.2">
      <c r="D112" s="146"/>
      <c r="E112" s="304" t="s">
        <v>12</v>
      </c>
      <c r="F112" s="304"/>
      <c r="G112" s="304"/>
      <c r="H112" s="159">
        <f>IF(H111&gt;0,1/H111,0)</f>
        <v>0</v>
      </c>
      <c r="I112" s="160">
        <f t="shared" ref="I112:K112" si="7">IF(I111&gt;0,1/I111,0)</f>
        <v>0</v>
      </c>
      <c r="J112" s="160">
        <f t="shared" si="7"/>
        <v>0</v>
      </c>
      <c r="K112" s="160">
        <f t="shared" si="7"/>
        <v>0</v>
      </c>
      <c r="L112" s="150"/>
    </row>
    <row r="113" spans="3:15" ht="22.5" customHeight="1" thickTop="1" thickBot="1" x14ac:dyDescent="0.2">
      <c r="D113" s="161"/>
      <c r="E113" s="287" t="s">
        <v>230</v>
      </c>
      <c r="F113" s="287"/>
      <c r="G113" s="288"/>
      <c r="H113" s="162">
        <f>IF(SUM(H103:K103)&gt;0,(H112*H103+I112*I103+J112*J103+K112*K103)/SUM(H103:K103),0)</f>
        <v>0</v>
      </c>
      <c r="I113" s="150"/>
      <c r="J113" s="150"/>
      <c r="K113" s="150"/>
      <c r="L113" s="150"/>
    </row>
    <row r="114" spans="3:15" ht="7.5" customHeight="1" thickTop="1" x14ac:dyDescent="0.15">
      <c r="K114" s="119"/>
      <c r="L114" s="119"/>
    </row>
    <row r="115" spans="3:15" ht="13.5" customHeight="1" thickBot="1" x14ac:dyDescent="0.2">
      <c r="L115" s="119"/>
    </row>
    <row r="116" spans="3:15" ht="20.25" thickTop="1" x14ac:dyDescent="0.15">
      <c r="C116" s="155" t="s">
        <v>455</v>
      </c>
      <c r="N116" s="309" t="s">
        <v>178</v>
      </c>
      <c r="O116" s="306" t="s">
        <v>501</v>
      </c>
    </row>
    <row r="117" spans="3:15" x14ac:dyDescent="0.15">
      <c r="C117" s="286" t="s">
        <v>454</v>
      </c>
      <c r="D117" s="305"/>
      <c r="E117" s="305"/>
      <c r="F117" s="305"/>
      <c r="G117" s="283" t="s">
        <v>486</v>
      </c>
      <c r="H117" s="284"/>
      <c r="I117" s="285" t="s">
        <v>490</v>
      </c>
      <c r="J117" s="285"/>
      <c r="K117" s="285"/>
      <c r="L117" s="113">
        <f>VLOOKUP(I117,Ψ値!$H$2:$I$6,2,FALSE)</f>
        <v>9999</v>
      </c>
      <c r="N117" s="309"/>
      <c r="O117" s="307"/>
    </row>
    <row r="118" spans="3:15" x14ac:dyDescent="0.15">
      <c r="C118" s="284" t="s">
        <v>488</v>
      </c>
      <c r="D118" s="284"/>
      <c r="E118" s="284"/>
      <c r="F118" s="286"/>
      <c r="G118" s="283" t="s">
        <v>486</v>
      </c>
      <c r="H118" s="284"/>
      <c r="I118" s="285" t="s">
        <v>490</v>
      </c>
      <c r="J118" s="285"/>
      <c r="K118" s="285"/>
      <c r="L118" s="113">
        <f>VLOOKUP(I118,Ψ値!$K$2:$L$8,2,FALSE)</f>
        <v>9999</v>
      </c>
      <c r="N118" s="309"/>
      <c r="O118" s="307"/>
    </row>
    <row r="119" spans="3:15" x14ac:dyDescent="0.15">
      <c r="C119" s="284" t="str">
        <f>IF(I117="布基礎・土間下断熱","T:基礎壁の内側から土間床を貫通する断熱材の熱抵抗","N:基礎壁内側の断熱材の熱抵抗")</f>
        <v>N:基礎壁内側の断熱材の熱抵抗</v>
      </c>
      <c r="D119" s="284"/>
      <c r="E119" s="284"/>
      <c r="F119" s="286"/>
      <c r="G119" s="283" t="s">
        <v>486</v>
      </c>
      <c r="H119" s="284"/>
      <c r="I119" s="285" t="s">
        <v>490</v>
      </c>
      <c r="J119" s="285"/>
      <c r="K119" s="285"/>
      <c r="L119" s="113">
        <f>VLOOKUP(I119,Ψ値!$N$2:$O$8,2,FALSE)</f>
        <v>9999</v>
      </c>
      <c r="N119" s="309"/>
      <c r="O119" s="307"/>
    </row>
    <row r="120" spans="3:15" ht="19.5" thickBot="1" x14ac:dyDescent="0.2">
      <c r="C120" s="281" t="str">
        <f>IF(COUNTIF(I117,"*土間上*"),"Q:土間床上の断熱材の水平長さ","S:土間床下の断熱材の水平長さ")</f>
        <v>S:土間床下の断熱材の水平長さ</v>
      </c>
      <c r="D120" s="282"/>
      <c r="E120" s="282"/>
      <c r="F120" s="282"/>
      <c r="G120" s="283" t="s">
        <v>487</v>
      </c>
      <c r="H120" s="284"/>
      <c r="I120" s="285" t="s">
        <v>490</v>
      </c>
      <c r="J120" s="285"/>
      <c r="K120" s="285"/>
      <c r="L120" s="113">
        <f>IF(OR(I120=Ψ値!$B$3,I121=Ψ値!$E$3),3,VLOOKUP(I120,Ψ値!$B$2:$C$6,2,FALSE))</f>
        <v>9999</v>
      </c>
      <c r="O120" s="308"/>
    </row>
    <row r="121" spans="3:15" ht="20.25" thickTop="1" thickBot="1" x14ac:dyDescent="0.2">
      <c r="C121" s="284" t="str">
        <f>IF(COUNTIF(I117,"*土間上*"),"O:土間床上の断熱材の熱抵抗","R:土間床下の断熱材の熱抵抗")</f>
        <v>R:土間床下の断熱材の熱抵抗</v>
      </c>
      <c r="D121" s="284"/>
      <c r="E121" s="284"/>
      <c r="F121" s="286"/>
      <c r="G121" s="283" t="s">
        <v>486</v>
      </c>
      <c r="H121" s="284"/>
      <c r="I121" s="285" t="s">
        <v>490</v>
      </c>
      <c r="J121" s="285"/>
      <c r="K121" s="285"/>
      <c r="L121" s="113">
        <f>IF(OR(I120=Ψ値!$B$3,I121=Ψ値!$E$3),0,VLOOKUP(I121,Ψ値!$E$2:$F$8,2,FALSE))</f>
        <v>9999</v>
      </c>
      <c r="O121" s="306" t="s">
        <v>499</v>
      </c>
    </row>
    <row r="122" spans="3:15" ht="22.5" customHeight="1" thickTop="1" thickBot="1" x14ac:dyDescent="0.2">
      <c r="F122" s="287" t="s">
        <v>494</v>
      </c>
      <c r="G122" s="287"/>
      <c r="H122" s="288"/>
      <c r="I122" s="108" cm="1">
        <f t="array" ref="I122">IF(AND(K122&lt;=164,L122&lt;=18),INDEX(Ψ値!$A$1:$R$163,K122,L122),0.99)</f>
        <v>0.99</v>
      </c>
      <c r="K122" s="113">
        <f>SUM(L117:L119)</f>
        <v>29997</v>
      </c>
      <c r="L122" s="113">
        <f>SUM(L120:L121)</f>
        <v>19998</v>
      </c>
      <c r="N122" s="120" t="s">
        <v>178</v>
      </c>
      <c r="O122" s="308"/>
    </row>
    <row r="123" spans="3:15" ht="8.25" customHeight="1" thickTop="1" thickBot="1" x14ac:dyDescent="0.2"/>
    <row r="124" spans="3:15" ht="20.25" thickTop="1" x14ac:dyDescent="0.15">
      <c r="C124" s="155" t="s">
        <v>495</v>
      </c>
      <c r="N124" s="120" t="s">
        <v>178</v>
      </c>
      <c r="O124" s="306" t="s">
        <v>502</v>
      </c>
    </row>
    <row r="125" spans="3:15" x14ac:dyDescent="0.15">
      <c r="C125" s="286" t="s">
        <v>454</v>
      </c>
      <c r="D125" s="305"/>
      <c r="E125" s="305"/>
      <c r="F125" s="305"/>
      <c r="G125" s="283" t="s">
        <v>486</v>
      </c>
      <c r="H125" s="284"/>
      <c r="I125" s="285" t="s">
        <v>490</v>
      </c>
      <c r="J125" s="285"/>
      <c r="K125" s="285"/>
      <c r="L125" s="113">
        <f>VLOOKUP(I125,Ψ値!$H$2:$I$6,2,FALSE)</f>
        <v>9999</v>
      </c>
      <c r="N125" s="156"/>
      <c r="O125" s="307"/>
    </row>
    <row r="126" spans="3:15" ht="19.5" thickBot="1" x14ac:dyDescent="0.2">
      <c r="C126" s="284" t="s">
        <v>488</v>
      </c>
      <c r="D126" s="284"/>
      <c r="E126" s="284"/>
      <c r="F126" s="286"/>
      <c r="G126" s="283" t="s">
        <v>486</v>
      </c>
      <c r="H126" s="284"/>
      <c r="I126" s="285" t="s">
        <v>490</v>
      </c>
      <c r="J126" s="285"/>
      <c r="K126" s="285"/>
      <c r="L126" s="113">
        <f>VLOOKUP(I126,Ψ値!$K$2:$L$8,2,FALSE)</f>
        <v>9999</v>
      </c>
      <c r="O126" s="308"/>
    </row>
    <row r="127" spans="3:15" ht="19.5" thickTop="1" x14ac:dyDescent="0.15">
      <c r="C127" s="284" t="str">
        <f>IF(I125="布基礎・土間下断熱","T:基礎壁の内側から土間床を貫通する断熱材の熱抵抗","N:基礎壁内側の断熱材の熱抵抗")</f>
        <v>N:基礎壁内側の断熱材の熱抵抗</v>
      </c>
      <c r="D127" s="284"/>
      <c r="E127" s="284"/>
      <c r="F127" s="286"/>
      <c r="G127" s="283" t="s">
        <v>486</v>
      </c>
      <c r="H127" s="284"/>
      <c r="I127" s="285" t="s">
        <v>490</v>
      </c>
      <c r="J127" s="285"/>
      <c r="K127" s="285"/>
      <c r="L127" s="113">
        <f>VLOOKUP(I127,Ψ値!$N$2:$O$8,2,FALSE)</f>
        <v>9999</v>
      </c>
    </row>
    <row r="128" spans="3:15" x14ac:dyDescent="0.15">
      <c r="C128" s="281" t="str">
        <f>IF(COUNTIF(I125,"*土間上*"),"Q:土間床上の断熱材の水平長さ","S:土間床下の断熱材の水平長さ")</f>
        <v>S:土間床下の断熱材の水平長さ</v>
      </c>
      <c r="D128" s="282"/>
      <c r="E128" s="282"/>
      <c r="F128" s="282"/>
      <c r="G128" s="283" t="s">
        <v>487</v>
      </c>
      <c r="H128" s="284"/>
      <c r="I128" s="285" t="s">
        <v>490</v>
      </c>
      <c r="J128" s="285"/>
      <c r="K128" s="285"/>
      <c r="L128" s="113">
        <f>IF(OR(I128=Ψ値!$B$3,I129=Ψ値!$E$3),3,VLOOKUP(I128,Ψ値!$B$2:$C$6,2,FALSE))</f>
        <v>9999</v>
      </c>
    </row>
    <row r="129" spans="3:12" ht="19.5" thickBot="1" x14ac:dyDescent="0.2">
      <c r="C129" s="284" t="str">
        <f>IF(COUNTIF(I125,"*土間上*"),"O:土間床上の断熱材の熱抵抗","R:土間床下の断熱材の熱抵抗")</f>
        <v>R:土間床下の断熱材の熱抵抗</v>
      </c>
      <c r="D129" s="284"/>
      <c r="E129" s="284"/>
      <c r="F129" s="286"/>
      <c r="G129" s="283" t="s">
        <v>486</v>
      </c>
      <c r="H129" s="284"/>
      <c r="I129" s="285" t="s">
        <v>490</v>
      </c>
      <c r="J129" s="285"/>
      <c r="K129" s="285"/>
      <c r="L129" s="113">
        <f>IF(OR(I128=Ψ値!$B$3,I129=Ψ値!$E$3),0,VLOOKUP(I129,Ψ値!$E$2:$F$8,2,FALSE))</f>
        <v>9999</v>
      </c>
    </row>
    <row r="130" spans="3:12" ht="22.5" customHeight="1" thickTop="1" thickBot="1" x14ac:dyDescent="0.2">
      <c r="F130" s="287" t="s">
        <v>494</v>
      </c>
      <c r="G130" s="287"/>
      <c r="H130" s="288"/>
      <c r="I130" s="108" cm="1">
        <f t="array" ref="I130">IF(AND(K130&lt;=164,L130&lt;=18),INDEX(Ψ値!$A$1:$R$163,K130,L130),0.99)</f>
        <v>0.99</v>
      </c>
      <c r="K130" s="113">
        <f>SUM(L125:L127)</f>
        <v>29997</v>
      </c>
      <c r="L130" s="113">
        <f>SUM(L128:L129)</f>
        <v>19998</v>
      </c>
    </row>
    <row r="131" spans="3:12" ht="5.25" customHeight="1" thickTop="1" x14ac:dyDescent="0.15"/>
    <row r="132" spans="3:12" ht="20.25" customHeight="1" x14ac:dyDescent="0.15">
      <c r="C132" s="155" t="s">
        <v>496</v>
      </c>
    </row>
    <row r="133" spans="3:12" x14ac:dyDescent="0.15">
      <c r="C133" s="286" t="s">
        <v>454</v>
      </c>
      <c r="D133" s="305"/>
      <c r="E133" s="305"/>
      <c r="F133" s="305"/>
      <c r="G133" s="283" t="s">
        <v>486</v>
      </c>
      <c r="H133" s="284"/>
      <c r="I133" s="285" t="s">
        <v>490</v>
      </c>
      <c r="J133" s="285"/>
      <c r="K133" s="285"/>
      <c r="L133" s="113">
        <f>VLOOKUP(I133,Ψ値!$H$2:$I$6,2,FALSE)</f>
        <v>9999</v>
      </c>
    </row>
    <row r="134" spans="3:12" x14ac:dyDescent="0.15">
      <c r="C134" s="284" t="s">
        <v>488</v>
      </c>
      <c r="D134" s="284"/>
      <c r="E134" s="284"/>
      <c r="F134" s="286"/>
      <c r="G134" s="283" t="s">
        <v>486</v>
      </c>
      <c r="H134" s="284"/>
      <c r="I134" s="285" t="s">
        <v>490</v>
      </c>
      <c r="J134" s="285"/>
      <c r="K134" s="285"/>
      <c r="L134" s="113">
        <f>VLOOKUP(I134,Ψ値!$K$2:$L$8,2,FALSE)</f>
        <v>9999</v>
      </c>
    </row>
    <row r="135" spans="3:12" x14ac:dyDescent="0.15">
      <c r="C135" s="284" t="str">
        <f>IF(I133="布基礎・土間下断熱","T:基礎壁の内側から土間床を貫通する断熱材の熱抵抗","N:基礎壁内側の断熱材の熱抵抗")</f>
        <v>N:基礎壁内側の断熱材の熱抵抗</v>
      </c>
      <c r="D135" s="284"/>
      <c r="E135" s="284"/>
      <c r="F135" s="286"/>
      <c r="G135" s="283" t="s">
        <v>486</v>
      </c>
      <c r="H135" s="284"/>
      <c r="I135" s="285" t="s">
        <v>490</v>
      </c>
      <c r="J135" s="285"/>
      <c r="K135" s="285"/>
      <c r="L135" s="113">
        <f>VLOOKUP(I135,Ψ値!$N$2:$O$8,2,FALSE)</f>
        <v>9999</v>
      </c>
    </row>
    <row r="136" spans="3:12" x14ac:dyDescent="0.15">
      <c r="C136" s="281" t="str">
        <f>IF(COUNTIF(I133,"*土間上*"),"Q:土間床上の断熱材の水平長さ","S:土間床下の断熱材の水平長さ")</f>
        <v>S:土間床下の断熱材の水平長さ</v>
      </c>
      <c r="D136" s="282"/>
      <c r="E136" s="282"/>
      <c r="F136" s="282"/>
      <c r="G136" s="283" t="s">
        <v>487</v>
      </c>
      <c r="H136" s="284"/>
      <c r="I136" s="285" t="s">
        <v>490</v>
      </c>
      <c r="J136" s="285"/>
      <c r="K136" s="285"/>
      <c r="L136" s="113">
        <f>IF(OR(I136=Ψ値!$B$3,I137=Ψ値!$E$3),3,VLOOKUP(I136,Ψ値!$B$2:$C$6,2,FALSE))</f>
        <v>9999</v>
      </c>
    </row>
    <row r="137" spans="3:12" ht="19.5" thickBot="1" x14ac:dyDescent="0.2">
      <c r="C137" s="284" t="str">
        <f>IF(COUNTIF(I133,"*土間上*"),"O:土間床上の断熱材の熱抵抗","R:土間床下の断熱材の熱抵抗")</f>
        <v>R:土間床下の断熱材の熱抵抗</v>
      </c>
      <c r="D137" s="284"/>
      <c r="E137" s="284"/>
      <c r="F137" s="286"/>
      <c r="G137" s="283" t="s">
        <v>486</v>
      </c>
      <c r="H137" s="284"/>
      <c r="I137" s="285" t="s">
        <v>490</v>
      </c>
      <c r="J137" s="285"/>
      <c r="K137" s="285"/>
      <c r="L137" s="113">
        <f>IF(OR(I136=Ψ値!$B$3,I137=Ψ値!$E$3),0,VLOOKUP(I137,Ψ値!$E$2:$F$8,2,FALSE))</f>
        <v>9999</v>
      </c>
    </row>
    <row r="138" spans="3:12" ht="22.5" customHeight="1" thickTop="1" thickBot="1" x14ac:dyDescent="0.2">
      <c r="F138" s="287" t="s">
        <v>494</v>
      </c>
      <c r="G138" s="287"/>
      <c r="H138" s="288"/>
      <c r="I138" s="108" cm="1">
        <f t="array" ref="I138">IF(AND(K138&lt;=164,L138&lt;=18),INDEX(Ψ値!$A$1:$R$163,K138,L138),0.99)</f>
        <v>0.99</v>
      </c>
      <c r="K138" s="113">
        <f>SUM(L133:L135)</f>
        <v>29997</v>
      </c>
      <c r="L138" s="113">
        <f>SUM(L136:L137)</f>
        <v>19998</v>
      </c>
    </row>
    <row r="139" spans="3:12" ht="19.5" thickTop="1" x14ac:dyDescent="0.15"/>
  </sheetData>
  <sheetProtection algorithmName="SHA-512" hashValue="f/lk3zsT6oARxr2aL97k0RU9+6kyU2TE/A/lT3xEaI78M0AjPaulw71Au7cbNXarqPIR0p3RxtGGpRZlz4MYQw==" saltValue="8uxdWnI9Ol0g0yu1rQ+a2A==" spinCount="100000" sheet="1" objects="1" scenarios="1"/>
  <mergeCells count="175">
    <mergeCell ref="F138:H138"/>
    <mergeCell ref="C136:F136"/>
    <mergeCell ref="G136:H136"/>
    <mergeCell ref="I136:K136"/>
    <mergeCell ref="C137:F137"/>
    <mergeCell ref="G137:H137"/>
    <mergeCell ref="I137:K137"/>
    <mergeCell ref="C134:F134"/>
    <mergeCell ref="G134:H134"/>
    <mergeCell ref="I134:K134"/>
    <mergeCell ref="C135:F135"/>
    <mergeCell ref="G135:H135"/>
    <mergeCell ref="I135:K135"/>
    <mergeCell ref="C129:F129"/>
    <mergeCell ref="G129:H129"/>
    <mergeCell ref="I129:K129"/>
    <mergeCell ref="F130:H130"/>
    <mergeCell ref="C133:F133"/>
    <mergeCell ref="G133:H133"/>
    <mergeCell ref="I133:K133"/>
    <mergeCell ref="G126:H126"/>
    <mergeCell ref="I126:K126"/>
    <mergeCell ref="C127:F127"/>
    <mergeCell ref="G127:H127"/>
    <mergeCell ref="I127:K127"/>
    <mergeCell ref="C128:F128"/>
    <mergeCell ref="G128:H128"/>
    <mergeCell ref="I128:K128"/>
    <mergeCell ref="C121:F121"/>
    <mergeCell ref="G121:H121"/>
    <mergeCell ref="I121:K121"/>
    <mergeCell ref="O121:O122"/>
    <mergeCell ref="F122:H122"/>
    <mergeCell ref="O124:O126"/>
    <mergeCell ref="C125:F125"/>
    <mergeCell ref="G125:H125"/>
    <mergeCell ref="I125:K125"/>
    <mergeCell ref="C126:F126"/>
    <mergeCell ref="N116:N119"/>
    <mergeCell ref="O116:O120"/>
    <mergeCell ref="C117:F117"/>
    <mergeCell ref="G117:H117"/>
    <mergeCell ref="I117:K117"/>
    <mergeCell ref="C118:F118"/>
    <mergeCell ref="C104:E104"/>
    <mergeCell ref="C105:E105"/>
    <mergeCell ref="C106:E106"/>
    <mergeCell ref="C107:E107"/>
    <mergeCell ref="C108:E108"/>
    <mergeCell ref="C109:E109"/>
    <mergeCell ref="G118:H118"/>
    <mergeCell ref="I118:K118"/>
    <mergeCell ref="C119:F119"/>
    <mergeCell ref="G119:H119"/>
    <mergeCell ref="I119:K119"/>
    <mergeCell ref="C120:F120"/>
    <mergeCell ref="G120:H120"/>
    <mergeCell ref="I120:K120"/>
    <mergeCell ref="C110:E110"/>
    <mergeCell ref="E111:G111"/>
    <mergeCell ref="E112:G112"/>
    <mergeCell ref="E113:G113"/>
    <mergeCell ref="C96:E96"/>
    <mergeCell ref="C97:E97"/>
    <mergeCell ref="E98:G98"/>
    <mergeCell ref="E99:G99"/>
    <mergeCell ref="E100:G100"/>
    <mergeCell ref="D103:F103"/>
    <mergeCell ref="D90:F90"/>
    <mergeCell ref="C91:E91"/>
    <mergeCell ref="C92:E92"/>
    <mergeCell ref="C93:E93"/>
    <mergeCell ref="C94:E94"/>
    <mergeCell ref="C95:E95"/>
    <mergeCell ref="C81:E81"/>
    <mergeCell ref="C82:E82"/>
    <mergeCell ref="C83:E83"/>
    <mergeCell ref="E84:G84"/>
    <mergeCell ref="E85:G85"/>
    <mergeCell ref="O85:O86"/>
    <mergeCell ref="E86:G86"/>
    <mergeCell ref="O75:O77"/>
    <mergeCell ref="D76:F76"/>
    <mergeCell ref="C77:E77"/>
    <mergeCell ref="C78:E78"/>
    <mergeCell ref="C79:E79"/>
    <mergeCell ref="C80:E80"/>
    <mergeCell ref="C68:E68"/>
    <mergeCell ref="C69:E69"/>
    <mergeCell ref="C70:E70"/>
    <mergeCell ref="E71:G71"/>
    <mergeCell ref="E72:G72"/>
    <mergeCell ref="O72:O73"/>
    <mergeCell ref="E73:G73"/>
    <mergeCell ref="O62:O63"/>
    <mergeCell ref="C64:E64"/>
    <mergeCell ref="C65:E65"/>
    <mergeCell ref="N65:N67"/>
    <mergeCell ref="O65:O67"/>
    <mergeCell ref="C66:E66"/>
    <mergeCell ref="C67:E67"/>
    <mergeCell ref="C55:E55"/>
    <mergeCell ref="C56:E56"/>
    <mergeCell ref="C57:E57"/>
    <mergeCell ref="E58:G58"/>
    <mergeCell ref="E59:G59"/>
    <mergeCell ref="O59:O60"/>
    <mergeCell ref="E60:G60"/>
    <mergeCell ref="O49:O50"/>
    <mergeCell ref="C51:E51"/>
    <mergeCell ref="C52:E52"/>
    <mergeCell ref="N52:N54"/>
    <mergeCell ref="O52:O54"/>
    <mergeCell ref="C53:E53"/>
    <mergeCell ref="C54:E54"/>
    <mergeCell ref="C43:E43"/>
    <mergeCell ref="C44:E44"/>
    <mergeCell ref="E45:G45"/>
    <mergeCell ref="E46:G46"/>
    <mergeCell ref="O46:O47"/>
    <mergeCell ref="E47:G47"/>
    <mergeCell ref="C39:E39"/>
    <mergeCell ref="N39:N41"/>
    <mergeCell ref="O39:O41"/>
    <mergeCell ref="C40:E40"/>
    <mergeCell ref="C41:E41"/>
    <mergeCell ref="C42:E42"/>
    <mergeCell ref="E32:G32"/>
    <mergeCell ref="E33:G33"/>
    <mergeCell ref="O33:O34"/>
    <mergeCell ref="E34:G34"/>
    <mergeCell ref="O36:O37"/>
    <mergeCell ref="C38:E38"/>
    <mergeCell ref="C27:E27"/>
    <mergeCell ref="O27:O29"/>
    <mergeCell ref="C28:E28"/>
    <mergeCell ref="C29:E29"/>
    <mergeCell ref="C30:E30"/>
    <mergeCell ref="C31:E31"/>
    <mergeCell ref="N21:N22"/>
    <mergeCell ref="O21:O22"/>
    <mergeCell ref="C23:E23"/>
    <mergeCell ref="C24:E24"/>
    <mergeCell ref="N24:N26"/>
    <mergeCell ref="O24:O26"/>
    <mergeCell ref="C25:E25"/>
    <mergeCell ref="C26:E26"/>
    <mergeCell ref="C16:E16"/>
    <mergeCell ref="O16:O18"/>
    <mergeCell ref="E17:G17"/>
    <mergeCell ref="N17:N18"/>
    <mergeCell ref="E18:G18"/>
    <mergeCell ref="E19:G19"/>
    <mergeCell ref="O19:O20"/>
    <mergeCell ref="C10:E10"/>
    <mergeCell ref="O10:O11"/>
    <mergeCell ref="C11:E11"/>
    <mergeCell ref="C12:E12"/>
    <mergeCell ref="N12:N15"/>
    <mergeCell ref="O12:O15"/>
    <mergeCell ref="C13:E13"/>
    <mergeCell ref="C14:E14"/>
    <mergeCell ref="C15:E15"/>
    <mergeCell ref="B4:D5"/>
    <mergeCell ref="N4:N5"/>
    <mergeCell ref="O4:O5"/>
    <mergeCell ref="B6:L6"/>
    <mergeCell ref="G7:K7"/>
    <mergeCell ref="O7:O9"/>
    <mergeCell ref="A1:J1"/>
    <mergeCell ref="K1:L1"/>
    <mergeCell ref="G2:K2"/>
    <mergeCell ref="N2:N3"/>
    <mergeCell ref="B3:D3"/>
    <mergeCell ref="E3:L3"/>
  </mergeCells>
  <phoneticPr fontId="2"/>
  <dataValidations count="6">
    <dataValidation type="list" allowBlank="1" showInputMessage="1" showErrorMessage="1" sqref="F4:F5 H4:H5 J4:J5 L4:L5" xr:uid="{E61FA90A-61F4-4068-92C7-86920F02BA11}">
      <formula1>"適用する,-"</formula1>
    </dataValidation>
    <dataValidation type="list" allowBlank="1" showInputMessage="1" showErrorMessage="1" sqref="I119:K119 I127:K127 I135:K135" xr:uid="{6B1FE8D7-F971-4725-B49C-FB5FD98B7AB2}">
      <formula1>NTの選択肢</formula1>
    </dataValidation>
    <dataValidation type="list" allowBlank="1" showInputMessage="1" showErrorMessage="1" sqref="I120:K120 I128:K128 I136:K136" xr:uid="{CD4315D5-B5FE-4DFF-8276-AC99340172D5}">
      <formula1>QSの選択肢</formula1>
    </dataValidation>
    <dataValidation type="list" allowBlank="1" showInputMessage="1" showErrorMessage="1" sqref="I121:K121 I129:K129 I137:K137" xr:uid="{45FEE9C5-6A97-4BB7-AE39-C69ABB5103D1}">
      <formula1>ORの選択肢</formula1>
    </dataValidation>
    <dataValidation type="list" allowBlank="1" showInputMessage="1" showErrorMessage="1" sqref="I117:K117 I125:K125 I133:K133" xr:uid="{4BA53F65-7BB0-497B-8D57-7334B19F0250}">
      <formula1>基礎形状</formula1>
    </dataValidation>
    <dataValidation type="list" allowBlank="1" showInputMessage="1" showErrorMessage="1" sqref="I118:K118 I126:K126 I134:K134" xr:uid="{39CB2836-CD36-415A-8DB8-FAA1B188E349}">
      <formula1>Mの選択肢</formula1>
    </dataValidation>
  </dataValidations>
  <pageMargins left="0.43307086614173229" right="0.43307086614173229"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T158"/>
  <sheetViews>
    <sheetView showGridLines="0" workbookViewId="0">
      <selection sqref="A1:J1"/>
    </sheetView>
  </sheetViews>
  <sheetFormatPr defaultRowHeight="18.75" x14ac:dyDescent="0.15"/>
  <cols>
    <col min="1" max="1" width="0.625" style="122" customWidth="1"/>
    <col min="2" max="2" width="0.375" style="119" customWidth="1"/>
    <col min="3" max="3" width="12.5" style="119" customWidth="1"/>
    <col min="4" max="4" width="6" style="119" customWidth="1"/>
    <col min="5" max="5" width="6.25" style="119" customWidth="1"/>
    <col min="6" max="6" width="7.125" style="119" customWidth="1"/>
    <col min="7" max="7" width="7.25" style="119" customWidth="1"/>
    <col min="8" max="8" width="6.875" style="119" customWidth="1"/>
    <col min="9" max="9" width="6.75" style="119" customWidth="1"/>
    <col min="10" max="10" width="7.125" style="119" customWidth="1"/>
    <col min="11" max="14" width="7.5" style="119" customWidth="1"/>
    <col min="15" max="15" width="7.5" style="122" customWidth="1"/>
    <col min="16" max="16" width="2.375" style="122" customWidth="1"/>
    <col min="17" max="17" width="54.5" style="121" customWidth="1"/>
  </cols>
  <sheetData>
    <row r="1" spans="1:20" ht="27" customHeight="1" thickTop="1" thickBot="1" x14ac:dyDescent="0.2">
      <c r="A1" s="317" t="s">
        <v>536</v>
      </c>
      <c r="B1" s="317"/>
      <c r="C1" s="317"/>
      <c r="D1" s="317"/>
      <c r="E1" s="317"/>
      <c r="F1" s="317"/>
      <c r="G1" s="317"/>
      <c r="H1" s="317"/>
      <c r="I1" s="317"/>
      <c r="J1" s="317"/>
      <c r="K1" s="166"/>
      <c r="L1" s="166"/>
      <c r="M1" s="116"/>
      <c r="N1" s="324" t="s">
        <v>439</v>
      </c>
      <c r="O1" s="324"/>
      <c r="P1" s="113"/>
      <c r="Q1" s="117" t="s">
        <v>177</v>
      </c>
      <c r="R1" s="67"/>
      <c r="S1" s="67"/>
      <c r="T1" s="67"/>
    </row>
    <row r="2" spans="1:20" s="3" customFormat="1" ht="3.75" customHeight="1" thickTop="1" thickBot="1" x14ac:dyDescent="0.2">
      <c r="A2" s="118"/>
      <c r="B2" s="122"/>
      <c r="C2" s="167"/>
      <c r="D2" s="167"/>
      <c r="E2" s="167"/>
      <c r="F2" s="167"/>
      <c r="G2" s="167"/>
      <c r="H2" s="167"/>
      <c r="I2" s="167"/>
      <c r="J2" s="167"/>
      <c r="K2" s="167"/>
      <c r="L2" s="167"/>
      <c r="M2" s="167"/>
      <c r="N2" s="167"/>
      <c r="O2" s="167"/>
      <c r="P2" s="118"/>
      <c r="Q2" s="168"/>
    </row>
    <row r="3" spans="1:20" s="2" customFormat="1" ht="18.75" customHeight="1" thickTop="1" x14ac:dyDescent="0.15">
      <c r="A3" s="122"/>
      <c r="B3" s="366" t="s">
        <v>0</v>
      </c>
      <c r="C3" s="367"/>
      <c r="D3" s="336"/>
      <c r="E3" s="336"/>
      <c r="F3" s="336"/>
      <c r="G3" s="336"/>
      <c r="H3" s="336"/>
      <c r="I3" s="336"/>
      <c r="J3" s="336"/>
      <c r="K3" s="336"/>
      <c r="L3" s="336"/>
      <c r="M3" s="336"/>
      <c r="N3" s="336"/>
      <c r="O3" s="336"/>
      <c r="P3" s="118"/>
      <c r="Q3" s="311" t="s">
        <v>440</v>
      </c>
    </row>
    <row r="4" spans="1:20" ht="22.5" customHeight="1" x14ac:dyDescent="0.15">
      <c r="B4" s="368" t="s">
        <v>334</v>
      </c>
      <c r="C4" s="369"/>
      <c r="D4" s="354" t="s">
        <v>430</v>
      </c>
      <c r="E4" s="355"/>
      <c r="F4" s="351" t="s">
        <v>333</v>
      </c>
      <c r="G4" s="352"/>
      <c r="H4" s="353"/>
      <c r="I4" s="354" t="s">
        <v>430</v>
      </c>
      <c r="J4" s="355"/>
      <c r="K4" s="351" t="s">
        <v>332</v>
      </c>
      <c r="L4" s="352"/>
      <c r="M4" s="353"/>
      <c r="N4" s="354" t="s">
        <v>430</v>
      </c>
      <c r="O4" s="355"/>
      <c r="P4" s="120" t="s">
        <v>178</v>
      </c>
      <c r="Q4" s="312"/>
    </row>
    <row r="5" spans="1:20" ht="119.25" customHeight="1" thickBot="1" x14ac:dyDescent="0.2">
      <c r="B5" s="370" t="s">
        <v>516</v>
      </c>
      <c r="C5" s="370"/>
      <c r="D5" s="370"/>
      <c r="E5" s="370"/>
      <c r="F5" s="370"/>
      <c r="G5" s="370"/>
      <c r="H5" s="370"/>
      <c r="I5" s="370"/>
      <c r="J5" s="370"/>
      <c r="K5" s="370"/>
      <c r="L5" s="370"/>
      <c r="M5" s="370"/>
      <c r="N5" s="370"/>
      <c r="O5" s="370"/>
      <c r="P5" s="156"/>
      <c r="Q5" s="313"/>
    </row>
    <row r="6" spans="1:20" ht="258" customHeight="1" thickTop="1" x14ac:dyDescent="0.15">
      <c r="B6" s="169"/>
      <c r="C6" s="169"/>
      <c r="D6" s="169"/>
      <c r="E6" s="169"/>
      <c r="F6" s="169"/>
      <c r="G6" s="169"/>
      <c r="H6" s="169"/>
      <c r="I6" s="169"/>
      <c r="J6" s="169"/>
      <c r="K6" s="169"/>
      <c r="L6" s="169"/>
      <c r="M6" s="169"/>
      <c r="N6" s="169"/>
      <c r="O6" s="169"/>
      <c r="P6" s="156"/>
      <c r="Q6" s="170"/>
    </row>
    <row r="7" spans="1:20" s="42" customFormat="1" ht="18.75" customHeight="1" x14ac:dyDescent="0.15">
      <c r="A7" s="119"/>
      <c r="B7" s="119"/>
      <c r="C7" s="122" t="s">
        <v>17</v>
      </c>
      <c r="D7" s="119"/>
      <c r="E7" s="119"/>
      <c r="F7" s="119"/>
      <c r="G7" s="119"/>
      <c r="H7" s="119"/>
      <c r="I7" s="119"/>
      <c r="J7" s="119"/>
      <c r="K7" s="119"/>
      <c r="L7" s="119"/>
      <c r="M7" s="119"/>
      <c r="N7" s="119"/>
      <c r="O7" s="119"/>
      <c r="P7" s="119"/>
      <c r="Q7" s="170"/>
    </row>
    <row r="8" spans="1:20" s="4" customFormat="1" ht="66" customHeight="1" thickBot="1" x14ac:dyDescent="0.2">
      <c r="A8" s="171"/>
      <c r="B8" s="146"/>
      <c r="C8" s="314" t="s">
        <v>21</v>
      </c>
      <c r="D8" s="316"/>
      <c r="E8" s="147" t="s">
        <v>22</v>
      </c>
      <c r="F8" s="125" t="s">
        <v>186</v>
      </c>
      <c r="G8" s="125" t="s">
        <v>415</v>
      </c>
      <c r="H8" s="125" t="s">
        <v>23</v>
      </c>
      <c r="I8" s="147" t="s">
        <v>24</v>
      </c>
      <c r="J8" s="125" t="s">
        <v>287</v>
      </c>
      <c r="K8" s="125" t="s">
        <v>188</v>
      </c>
      <c r="L8" s="125" t="s">
        <v>285</v>
      </c>
      <c r="M8" s="125" t="s">
        <v>187</v>
      </c>
      <c r="N8" s="125" t="s">
        <v>288</v>
      </c>
      <c r="O8" s="172"/>
      <c r="P8" s="118"/>
      <c r="Q8" s="170"/>
    </row>
    <row r="9" spans="1:20" ht="18" customHeight="1" thickTop="1" x14ac:dyDescent="0.15">
      <c r="C9" s="371" t="s">
        <v>25</v>
      </c>
      <c r="D9" s="372"/>
      <c r="E9" s="173" t="s">
        <v>26</v>
      </c>
      <c r="F9" s="174" t="e">
        <f>IF(INT(LEFT($D$4,1))&lt;4,17.86,13.6)</f>
        <v>#VALUE!</v>
      </c>
      <c r="G9" s="58"/>
      <c r="H9" s="175">
        <v>1</v>
      </c>
      <c r="I9" s="174" t="e">
        <f t="shared" ref="I9:I20" si="0">F9*G9*H9</f>
        <v>#VALUE!</v>
      </c>
      <c r="J9" s="176">
        <f t="shared" ref="J9:J20" si="1">G9*0.034</f>
        <v>0</v>
      </c>
      <c r="K9" s="176" t="e">
        <f>INDEX(方位係数!$B$2:$J$10,MATCH($E9,方位係数!$A$2:$A$10,0),MATCH($D$4,方位係数!$B$1:$J$1))</f>
        <v>#N/A</v>
      </c>
      <c r="L9" s="176" t="e">
        <f t="shared" ref="L9:L20" si="2">$K9*$F9*$J9</f>
        <v>#N/A</v>
      </c>
      <c r="M9" s="176" t="e">
        <f>INDEX(方位係数!$B$13:$J$21,MATCH($E9,方位係数!$A$13:$A$21,0),MATCH($D$4,方位係数!$B$12:$J$12))</f>
        <v>#N/A</v>
      </c>
      <c r="N9" s="176" t="e">
        <f t="shared" ref="N9:N20" si="3">$M9*$F9*$J9</f>
        <v>#N/A</v>
      </c>
      <c r="P9" s="309" t="s">
        <v>180</v>
      </c>
      <c r="Q9" s="311" t="s">
        <v>504</v>
      </c>
    </row>
    <row r="10" spans="1:20" ht="18" customHeight="1" x14ac:dyDescent="0.15">
      <c r="C10" s="345" t="s">
        <v>25</v>
      </c>
      <c r="D10" s="346"/>
      <c r="E10" s="177" t="s">
        <v>27</v>
      </c>
      <c r="F10" s="178" t="e">
        <f>IF(INT(LEFT($D$4,1))&lt;4,15.9,15.71)</f>
        <v>#VALUE!</v>
      </c>
      <c r="G10" s="59"/>
      <c r="H10" s="179">
        <v>1</v>
      </c>
      <c r="I10" s="178" t="e">
        <f t="shared" si="0"/>
        <v>#VALUE!</v>
      </c>
      <c r="J10" s="180">
        <f t="shared" si="1"/>
        <v>0</v>
      </c>
      <c r="K10" s="180" t="e">
        <f>INDEX(方位係数!$B$2:$J$10,MATCH($E10,方位係数!$A$2:$A$10,0),MATCH($D$4,方位係数!$B$1:$J$1))</f>
        <v>#N/A</v>
      </c>
      <c r="L10" s="180" t="e">
        <f t="shared" si="2"/>
        <v>#N/A</v>
      </c>
      <c r="M10" s="180" t="e">
        <f>INDEX(方位係数!$B$13:$J$21,MATCH($E10,方位係数!$A$13:$A$21,0),MATCH($D$4,方位係数!$B$12:$J$12))</f>
        <v>#N/A</v>
      </c>
      <c r="N10" s="180" t="e">
        <f t="shared" si="3"/>
        <v>#N/A</v>
      </c>
      <c r="P10" s="309"/>
      <c r="Q10" s="312"/>
    </row>
    <row r="11" spans="1:20" ht="18" customHeight="1" x14ac:dyDescent="0.15">
      <c r="C11" s="345" t="s">
        <v>25</v>
      </c>
      <c r="D11" s="346"/>
      <c r="E11" s="177" t="s">
        <v>28</v>
      </c>
      <c r="F11" s="178" t="e">
        <f>IF(INT(LEFT($D$4,1))&lt;4,22.4,21.56)</f>
        <v>#VALUE!</v>
      </c>
      <c r="G11" s="59"/>
      <c r="H11" s="179">
        <v>1</v>
      </c>
      <c r="I11" s="178" t="e">
        <f t="shared" si="0"/>
        <v>#VALUE!</v>
      </c>
      <c r="J11" s="180">
        <f t="shared" si="1"/>
        <v>0</v>
      </c>
      <c r="K11" s="180" t="e">
        <f>INDEX(方位係数!$B$2:$J$10,MATCH($E11,方位係数!$A$2:$A$10,0),MATCH($D$4,方位係数!$B$1:$J$1))</f>
        <v>#N/A</v>
      </c>
      <c r="L11" s="180" t="e">
        <f t="shared" si="2"/>
        <v>#N/A</v>
      </c>
      <c r="M11" s="180" t="e">
        <f>INDEX(方位係数!$B$13:$J$21,MATCH($E11,方位係数!$A$13:$A$21,0),MATCH($D$4,方位係数!$B$12:$J$12))</f>
        <v>#N/A</v>
      </c>
      <c r="N11" s="180" t="e">
        <f t="shared" si="3"/>
        <v>#N/A</v>
      </c>
      <c r="P11" s="309"/>
      <c r="Q11" s="312"/>
    </row>
    <row r="12" spans="1:20" ht="18" customHeight="1" x14ac:dyDescent="0.15">
      <c r="C12" s="345" t="s">
        <v>25</v>
      </c>
      <c r="D12" s="346"/>
      <c r="E12" s="177" t="s">
        <v>29</v>
      </c>
      <c r="F12" s="178" t="e">
        <f>IF(INT(LEFT($D$4,1))&lt;4,14.45,14.07)</f>
        <v>#VALUE!</v>
      </c>
      <c r="G12" s="59"/>
      <c r="H12" s="179">
        <v>1</v>
      </c>
      <c r="I12" s="178" t="e">
        <f t="shared" si="0"/>
        <v>#VALUE!</v>
      </c>
      <c r="J12" s="180">
        <f t="shared" si="1"/>
        <v>0</v>
      </c>
      <c r="K12" s="180" t="e">
        <f>INDEX(方位係数!$B$2:$J$10,MATCH($E12,方位係数!$A$2:$A$10,0),MATCH($D$4,方位係数!$B$1:$J$1))</f>
        <v>#N/A</v>
      </c>
      <c r="L12" s="180" t="e">
        <f t="shared" si="2"/>
        <v>#N/A</v>
      </c>
      <c r="M12" s="180" t="e">
        <f>INDEX(方位係数!$B$13:$J$21,MATCH($E12,方位係数!$A$13:$A$21,0),MATCH($D$4,方位係数!$B$12:$J$12))</f>
        <v>#N/A</v>
      </c>
      <c r="N12" s="180" t="e">
        <f t="shared" si="3"/>
        <v>#N/A</v>
      </c>
      <c r="P12" s="309"/>
      <c r="Q12" s="312"/>
    </row>
    <row r="13" spans="1:20" ht="18" customHeight="1" x14ac:dyDescent="0.15">
      <c r="C13" s="345" t="s">
        <v>66</v>
      </c>
      <c r="D13" s="346"/>
      <c r="E13" s="177" t="s">
        <v>26</v>
      </c>
      <c r="F13" s="178">
        <v>4.78</v>
      </c>
      <c r="G13" s="59"/>
      <c r="H13" s="179">
        <v>1</v>
      </c>
      <c r="I13" s="178">
        <f t="shared" si="0"/>
        <v>0</v>
      </c>
      <c r="J13" s="180">
        <f t="shared" si="1"/>
        <v>0</v>
      </c>
      <c r="K13" s="180" t="e">
        <f>INDEX(方位係数!$B$2:$J$10,MATCH($E13,方位係数!$A$2:$A$10,0),MATCH($D$4,方位係数!$B$1:$J$1))</f>
        <v>#N/A</v>
      </c>
      <c r="L13" s="180" t="e">
        <f t="shared" si="2"/>
        <v>#N/A</v>
      </c>
      <c r="M13" s="180" t="e">
        <f>INDEX(方位係数!$B$13:$J$21,MATCH($E13,方位係数!$A$13:$A$21,0),MATCH($D$4,方位係数!$B$12:$J$12))</f>
        <v>#N/A</v>
      </c>
      <c r="N13" s="180" t="e">
        <f t="shared" si="3"/>
        <v>#N/A</v>
      </c>
      <c r="P13" s="309"/>
      <c r="Q13" s="312"/>
    </row>
    <row r="14" spans="1:20" ht="18" customHeight="1" x14ac:dyDescent="0.15">
      <c r="C14" s="345" t="s">
        <v>66</v>
      </c>
      <c r="D14" s="346"/>
      <c r="E14" s="177" t="s">
        <v>27</v>
      </c>
      <c r="F14" s="178">
        <v>2.73</v>
      </c>
      <c r="G14" s="59"/>
      <c r="H14" s="179">
        <v>1</v>
      </c>
      <c r="I14" s="178">
        <f t="shared" si="0"/>
        <v>0</v>
      </c>
      <c r="J14" s="180">
        <f t="shared" si="1"/>
        <v>0</v>
      </c>
      <c r="K14" s="180" t="e">
        <f>INDEX(方位係数!$B$2:$J$10,MATCH($E14,方位係数!$A$2:$A$10,0),MATCH($D$4,方位係数!$B$1:$J$1))</f>
        <v>#N/A</v>
      </c>
      <c r="L14" s="180" t="e">
        <f t="shared" si="2"/>
        <v>#N/A</v>
      </c>
      <c r="M14" s="180" t="e">
        <f>INDEX(方位係数!$B$13:$J$21,MATCH($E14,方位係数!$A$13:$A$21,0),MATCH($D$4,方位係数!$B$12:$J$12))</f>
        <v>#N/A</v>
      </c>
      <c r="N14" s="180" t="e">
        <f t="shared" si="3"/>
        <v>#N/A</v>
      </c>
      <c r="P14" s="309"/>
      <c r="Q14" s="312"/>
    </row>
    <row r="15" spans="1:20" ht="18" customHeight="1" x14ac:dyDescent="0.15">
      <c r="C15" s="345" t="s">
        <v>66</v>
      </c>
      <c r="D15" s="346"/>
      <c r="E15" s="177" t="s">
        <v>28</v>
      </c>
      <c r="F15" s="178">
        <v>3.1900000000000004</v>
      </c>
      <c r="G15" s="59"/>
      <c r="H15" s="179">
        <v>1</v>
      </c>
      <c r="I15" s="178">
        <f t="shared" si="0"/>
        <v>0</v>
      </c>
      <c r="J15" s="180">
        <f>G15*0.034</f>
        <v>0</v>
      </c>
      <c r="K15" s="180" t="e">
        <f>INDEX(方位係数!$B$2:$J$10,MATCH($E15,方位係数!$A$2:$A$10,0),MATCH($D$4,方位係数!$B$1:$J$1))</f>
        <v>#N/A</v>
      </c>
      <c r="L15" s="180" t="e">
        <f t="shared" si="2"/>
        <v>#N/A</v>
      </c>
      <c r="M15" s="180" t="e">
        <f>INDEX(方位係数!$B$13:$J$21,MATCH($E15,方位係数!$A$13:$A$21,0),MATCH($D$4,方位係数!$B$12:$J$12))</f>
        <v>#N/A</v>
      </c>
      <c r="N15" s="180" t="e">
        <f t="shared" si="3"/>
        <v>#N/A</v>
      </c>
      <c r="P15" s="309"/>
      <c r="Q15" s="312"/>
    </row>
    <row r="16" spans="1:20" ht="18" customHeight="1" x14ac:dyDescent="0.15">
      <c r="C16" s="345" t="s">
        <v>66</v>
      </c>
      <c r="D16" s="346"/>
      <c r="E16" s="177" t="s">
        <v>29</v>
      </c>
      <c r="F16" s="178">
        <v>2.73</v>
      </c>
      <c r="G16" s="59"/>
      <c r="H16" s="179">
        <v>1</v>
      </c>
      <c r="I16" s="178">
        <f t="shared" si="0"/>
        <v>0</v>
      </c>
      <c r="J16" s="180">
        <f t="shared" si="1"/>
        <v>0</v>
      </c>
      <c r="K16" s="180" t="e">
        <f>INDEX(方位係数!$B$2:$J$10,MATCH($E16,方位係数!$A$2:$A$10,0),MATCH($D$4,方位係数!$B$1:$J$1))</f>
        <v>#N/A</v>
      </c>
      <c r="L16" s="180" t="e">
        <f t="shared" si="2"/>
        <v>#N/A</v>
      </c>
      <c r="M16" s="180" t="e">
        <f>INDEX(方位係数!$B$13:$J$21,MATCH($E16,方位係数!$A$13:$A$21,0),MATCH($D$4,方位係数!$B$12:$J$12))</f>
        <v>#N/A</v>
      </c>
      <c r="N16" s="180" t="e">
        <f t="shared" si="3"/>
        <v>#N/A</v>
      </c>
      <c r="P16" s="309"/>
      <c r="Q16" s="312"/>
    </row>
    <row r="17" spans="1:17" ht="18" customHeight="1" x14ac:dyDescent="0.15">
      <c r="C17" s="345" t="s">
        <v>30</v>
      </c>
      <c r="D17" s="346"/>
      <c r="E17" s="177" t="s">
        <v>26</v>
      </c>
      <c r="F17" s="178" t="e">
        <f>IF(INT(LEFT($D$4,1))&lt;4,14.43,14.76)</f>
        <v>#VALUE!</v>
      </c>
      <c r="G17" s="59"/>
      <c r="H17" s="179">
        <v>1</v>
      </c>
      <c r="I17" s="178" t="e">
        <f t="shared" si="0"/>
        <v>#VALUE!</v>
      </c>
      <c r="J17" s="180">
        <f t="shared" si="1"/>
        <v>0</v>
      </c>
      <c r="K17" s="180" t="e">
        <f>INDEX(方位係数!$B$2:$J$10,MATCH($E17,方位係数!$A$2:$A$10,0),MATCH($D$4,方位係数!$B$1:$J$1))</f>
        <v>#N/A</v>
      </c>
      <c r="L17" s="180" t="e">
        <f t="shared" si="2"/>
        <v>#N/A</v>
      </c>
      <c r="M17" s="180" t="e">
        <f>INDEX(方位係数!$B$13:$J$21,MATCH($E17,方位係数!$A$13:$A$21,0),MATCH($D$4,方位係数!$B$12:$J$12))</f>
        <v>#N/A</v>
      </c>
      <c r="N17" s="180" t="e">
        <f t="shared" si="3"/>
        <v>#N/A</v>
      </c>
      <c r="P17" s="309"/>
      <c r="Q17" s="312"/>
    </row>
    <row r="18" spans="1:17" ht="18" customHeight="1" x14ac:dyDescent="0.15">
      <c r="C18" s="345" t="s">
        <v>30</v>
      </c>
      <c r="D18" s="346"/>
      <c r="E18" s="177" t="s">
        <v>27</v>
      </c>
      <c r="F18" s="178" t="e">
        <f>IF(INT(LEFT($D$4,1))&lt;4,12.54,11.58)</f>
        <v>#VALUE!</v>
      </c>
      <c r="G18" s="59"/>
      <c r="H18" s="179">
        <v>1</v>
      </c>
      <c r="I18" s="178" t="e">
        <f t="shared" si="0"/>
        <v>#VALUE!</v>
      </c>
      <c r="J18" s="180">
        <f t="shared" si="1"/>
        <v>0</v>
      </c>
      <c r="K18" s="180" t="e">
        <f>INDEX(方位係数!$B$2:$J$10,MATCH($E18,方位係数!$A$2:$A$10,0),MATCH($D$4,方位係数!$B$1:$J$1))</f>
        <v>#N/A</v>
      </c>
      <c r="L18" s="180" t="e">
        <f t="shared" si="2"/>
        <v>#N/A</v>
      </c>
      <c r="M18" s="180" t="e">
        <f>INDEX(方位係数!$B$13:$J$21,MATCH($E18,方位係数!$A$13:$A$21,0),MATCH($D$4,方位係数!$B$12:$J$12))</f>
        <v>#N/A</v>
      </c>
      <c r="N18" s="180" t="e">
        <f t="shared" si="3"/>
        <v>#N/A</v>
      </c>
      <c r="P18" s="309"/>
      <c r="Q18" s="312"/>
    </row>
    <row r="19" spans="1:17" ht="18" customHeight="1" x14ac:dyDescent="0.15">
      <c r="C19" s="345" t="s">
        <v>30</v>
      </c>
      <c r="D19" s="346"/>
      <c r="E19" s="177" t="s">
        <v>28</v>
      </c>
      <c r="F19" s="178" t="e">
        <f>IF(INT(LEFT($D$4,1))&lt;4,24.36,24.02)</f>
        <v>#VALUE!</v>
      </c>
      <c r="G19" s="59"/>
      <c r="H19" s="179">
        <v>1</v>
      </c>
      <c r="I19" s="178" t="e">
        <f t="shared" si="0"/>
        <v>#VALUE!</v>
      </c>
      <c r="J19" s="180">
        <f t="shared" si="1"/>
        <v>0</v>
      </c>
      <c r="K19" s="180" t="e">
        <f>INDEX(方位係数!$B$2:$J$10,MATCH($E19,方位係数!$A$2:$A$10,0),MATCH($D$4,方位係数!$B$1:$J$1))</f>
        <v>#N/A</v>
      </c>
      <c r="L19" s="180" t="e">
        <f t="shared" si="2"/>
        <v>#N/A</v>
      </c>
      <c r="M19" s="180" t="e">
        <f>INDEX(方位係数!$B$13:$J$21,MATCH($E19,方位係数!$A$13:$A$21,0),MATCH($D$4,方位係数!$B$12:$J$12))</f>
        <v>#N/A</v>
      </c>
      <c r="N19" s="180" t="e">
        <f t="shared" si="3"/>
        <v>#N/A</v>
      </c>
      <c r="P19" s="309"/>
      <c r="Q19" s="312"/>
    </row>
    <row r="20" spans="1:17" ht="18" customHeight="1" thickBot="1" x14ac:dyDescent="0.2">
      <c r="C20" s="347" t="s">
        <v>30</v>
      </c>
      <c r="D20" s="348"/>
      <c r="E20" s="181" t="s">
        <v>29</v>
      </c>
      <c r="F20" s="182" t="e">
        <f>IF(INT(LEFT($D$4,1))&lt;4,12.75,12.44)</f>
        <v>#VALUE!</v>
      </c>
      <c r="G20" s="70"/>
      <c r="H20" s="183">
        <v>1</v>
      </c>
      <c r="I20" s="182" t="e">
        <f t="shared" si="0"/>
        <v>#VALUE!</v>
      </c>
      <c r="J20" s="184">
        <f t="shared" si="1"/>
        <v>0</v>
      </c>
      <c r="K20" s="185" t="e">
        <f>INDEX(方位係数!$B$2:$J$10,MATCH($E20,方位係数!$A$2:$A$10,0),MATCH($D$4,方位係数!$B$1:$J$1))</f>
        <v>#N/A</v>
      </c>
      <c r="L20" s="185" t="e">
        <f t="shared" si="2"/>
        <v>#N/A</v>
      </c>
      <c r="M20" s="185" t="e">
        <f>INDEX(方位係数!$B$13:$J$21,MATCH($E20,方位係数!$A$13:$A$21,0),MATCH($D$4,方位係数!$B$12:$J$12))</f>
        <v>#N/A</v>
      </c>
      <c r="N20" s="185" t="e">
        <f t="shared" si="3"/>
        <v>#N/A</v>
      </c>
      <c r="P20" s="309"/>
      <c r="Q20" s="313"/>
    </row>
    <row r="21" spans="1:17" ht="18" customHeight="1" thickTop="1" x14ac:dyDescent="0.15">
      <c r="D21" s="349" t="s">
        <v>31</v>
      </c>
      <c r="E21" s="350"/>
      <c r="F21" s="186" t="e">
        <f>SUM(F9:F20)</f>
        <v>#VALUE!</v>
      </c>
      <c r="G21" s="167"/>
      <c r="H21" s="187" t="s">
        <v>32</v>
      </c>
      <c r="I21" s="186" t="e">
        <f>SUM(I9:I20)</f>
        <v>#VALUE!</v>
      </c>
      <c r="J21" s="188"/>
      <c r="K21" s="187" t="s">
        <v>190</v>
      </c>
      <c r="L21" s="189" t="e">
        <f>SUM(L9:L20)</f>
        <v>#N/A</v>
      </c>
      <c r="M21" s="187" t="s">
        <v>189</v>
      </c>
      <c r="N21" s="189" t="e">
        <f>SUM(N9:N20)</f>
        <v>#N/A</v>
      </c>
    </row>
    <row r="22" spans="1:17" ht="18.75" customHeight="1" x14ac:dyDescent="0.15">
      <c r="C22" s="127" t="s">
        <v>378</v>
      </c>
      <c r="P22" s="341"/>
    </row>
    <row r="23" spans="1:17" ht="9" customHeight="1" x14ac:dyDescent="0.15">
      <c r="F23" s="190"/>
      <c r="P23" s="341"/>
    </row>
    <row r="24" spans="1:17" s="42" customFormat="1" ht="18.75" customHeight="1" x14ac:dyDescent="0.15">
      <c r="A24" s="119"/>
      <c r="B24" s="119"/>
      <c r="C24" s="122" t="s">
        <v>505</v>
      </c>
      <c r="D24" s="119"/>
      <c r="E24" s="119"/>
      <c r="F24" s="119"/>
      <c r="G24" s="119"/>
      <c r="H24" s="119"/>
      <c r="I24" s="119"/>
      <c r="J24" s="119"/>
      <c r="K24" s="119"/>
      <c r="L24" s="119"/>
      <c r="M24" s="119"/>
      <c r="N24" s="119"/>
      <c r="O24" s="119"/>
      <c r="P24" s="341"/>
      <c r="Q24" s="121"/>
    </row>
    <row r="25" spans="1:17" s="4" customFormat="1" ht="62.25" customHeight="1" thickBot="1" x14ac:dyDescent="0.2">
      <c r="A25" s="171"/>
      <c r="B25" s="146"/>
      <c r="C25" s="314" t="s">
        <v>417</v>
      </c>
      <c r="D25" s="316"/>
      <c r="E25" s="147" t="s">
        <v>22</v>
      </c>
      <c r="F25" s="125" t="s">
        <v>186</v>
      </c>
      <c r="G25" s="125" t="s">
        <v>415</v>
      </c>
      <c r="H25" s="125" t="s">
        <v>23</v>
      </c>
      <c r="I25" s="125" t="s">
        <v>24</v>
      </c>
      <c r="J25" s="125" t="s">
        <v>287</v>
      </c>
      <c r="K25" s="125" t="s">
        <v>188</v>
      </c>
      <c r="L25" s="125" t="s">
        <v>285</v>
      </c>
      <c r="M25" s="125" t="s">
        <v>187</v>
      </c>
      <c r="N25" s="125" t="s">
        <v>288</v>
      </c>
      <c r="O25" s="146"/>
      <c r="P25" s="341"/>
      <c r="Q25" s="191"/>
    </row>
    <row r="26" spans="1:17" ht="18" customHeight="1" thickTop="1" x14ac:dyDescent="0.15">
      <c r="C26" s="376" t="s">
        <v>229</v>
      </c>
      <c r="D26" s="377"/>
      <c r="E26" s="193"/>
      <c r="F26" s="194">
        <f>IF($N$4="床断熱",62.11,0)</f>
        <v>0</v>
      </c>
      <c r="G26" s="89"/>
      <c r="H26" s="195">
        <v>0.7</v>
      </c>
      <c r="I26" s="194">
        <f>F26*G26*H26</f>
        <v>0</v>
      </c>
      <c r="J26" s="196">
        <f t="shared" ref="J26:J32" si="4">G26*0.034</f>
        <v>0</v>
      </c>
      <c r="K26" s="196">
        <v>0</v>
      </c>
      <c r="L26" s="196">
        <f t="shared" ref="L26:L33" si="5">$K26*$F26*$J26</f>
        <v>0</v>
      </c>
      <c r="M26" s="196">
        <v>0</v>
      </c>
      <c r="N26" s="196">
        <f t="shared" ref="N26:N33" si="6">$M26*$F26*$J26</f>
        <v>0</v>
      </c>
      <c r="O26" s="119"/>
      <c r="P26" s="309" t="s">
        <v>178</v>
      </c>
      <c r="Q26" s="311" t="s">
        <v>428</v>
      </c>
    </row>
    <row r="27" spans="1:17" ht="6" customHeight="1" x14ac:dyDescent="0.15">
      <c r="P27" s="309"/>
      <c r="Q27" s="312"/>
    </row>
    <row r="28" spans="1:17" ht="18" customHeight="1" x14ac:dyDescent="0.15">
      <c r="C28" s="404" t="s">
        <v>400</v>
      </c>
      <c r="D28" s="405"/>
      <c r="E28" s="197" t="s">
        <v>27</v>
      </c>
      <c r="F28" s="198">
        <f>IF($N$4="床断熱",1.82*0.45,0)</f>
        <v>0</v>
      </c>
      <c r="G28" s="62"/>
      <c r="H28" s="199">
        <v>1</v>
      </c>
      <c r="I28" s="198">
        <f t="shared" ref="I28:I33" si="7">F28*G28*H28</f>
        <v>0</v>
      </c>
      <c r="J28" s="200">
        <f t="shared" si="4"/>
        <v>0</v>
      </c>
      <c r="K28" s="200" t="e">
        <f>INDEX(方位係数!$B$2:$J$10,MATCH($E28,方位係数!$A$2:$A$10,0),MATCH($D$4,方位係数!$B$1:$J$1))</f>
        <v>#N/A</v>
      </c>
      <c r="L28" s="200" t="e">
        <f t="shared" si="5"/>
        <v>#N/A</v>
      </c>
      <c r="M28" s="200" t="e">
        <f>INDEX(方位係数!$B$13:$J$21,MATCH($E28,方位係数!$A$13:$A$21,0),MATCH($D$4,方位係数!$B$12:$J$12))</f>
        <v>#N/A</v>
      </c>
      <c r="N28" s="200" t="e">
        <f t="shared" si="6"/>
        <v>#N/A</v>
      </c>
      <c r="O28" s="201"/>
      <c r="P28" s="309"/>
      <c r="Q28" s="312"/>
    </row>
    <row r="29" spans="1:17" ht="18" customHeight="1" x14ac:dyDescent="0.15">
      <c r="C29" s="345" t="s">
        <v>401</v>
      </c>
      <c r="D29" s="361"/>
      <c r="E29" s="177" t="s">
        <v>28</v>
      </c>
      <c r="F29" s="178">
        <f>IF($N$4="床断熱",1.365*0.45,0)</f>
        <v>0</v>
      </c>
      <c r="G29" s="59"/>
      <c r="H29" s="179">
        <v>1</v>
      </c>
      <c r="I29" s="178">
        <f t="shared" si="7"/>
        <v>0</v>
      </c>
      <c r="J29" s="180">
        <f t="shared" si="4"/>
        <v>0</v>
      </c>
      <c r="K29" s="180" t="e">
        <f>INDEX(方位係数!$B$2:$J$10,MATCH($E29,方位係数!$A$2:$A$10,0),MATCH($D$4,方位係数!$B$1:$J$1))</f>
        <v>#N/A</v>
      </c>
      <c r="L29" s="180" t="e">
        <f t="shared" si="5"/>
        <v>#N/A</v>
      </c>
      <c r="M29" s="180" t="e">
        <f>INDEX(方位係数!$B$13:$J$21,MATCH($E29,方位係数!$A$13:$A$21,0),MATCH($D$4,方位係数!$B$12:$J$12))</f>
        <v>#N/A</v>
      </c>
      <c r="N29" s="180" t="e">
        <f t="shared" si="6"/>
        <v>#N/A</v>
      </c>
      <c r="O29" s="201"/>
      <c r="P29" s="309"/>
      <c r="Q29" s="312"/>
    </row>
    <row r="30" spans="1:17" ht="18" customHeight="1" x14ac:dyDescent="0.15">
      <c r="C30" s="345" t="s">
        <v>402</v>
      </c>
      <c r="D30" s="361"/>
      <c r="E30" s="202"/>
      <c r="F30" s="178">
        <f>IF($N$4="床断熱",3.185*0.45,0)</f>
        <v>0</v>
      </c>
      <c r="G30" s="59"/>
      <c r="H30" s="179">
        <v>0.7</v>
      </c>
      <c r="I30" s="178">
        <f t="shared" si="7"/>
        <v>0</v>
      </c>
      <c r="J30" s="180">
        <f t="shared" si="4"/>
        <v>0</v>
      </c>
      <c r="K30" s="180">
        <v>0</v>
      </c>
      <c r="L30" s="180">
        <f t="shared" si="5"/>
        <v>0</v>
      </c>
      <c r="M30" s="180">
        <v>0</v>
      </c>
      <c r="N30" s="180">
        <f t="shared" si="6"/>
        <v>0</v>
      </c>
      <c r="O30" s="201"/>
      <c r="P30" s="309"/>
      <c r="Q30" s="312"/>
    </row>
    <row r="31" spans="1:17" ht="18" customHeight="1" x14ac:dyDescent="0.15">
      <c r="C31" s="345" t="s">
        <v>403</v>
      </c>
      <c r="D31" s="361"/>
      <c r="E31" s="177" t="s">
        <v>27</v>
      </c>
      <c r="F31" s="203">
        <f>IF($N$4="床断熱",1.82*0.45,0)</f>
        <v>0</v>
      </c>
      <c r="G31" s="61"/>
      <c r="H31" s="204">
        <v>1</v>
      </c>
      <c r="I31" s="203">
        <f t="shared" si="7"/>
        <v>0</v>
      </c>
      <c r="J31" s="180">
        <f t="shared" si="4"/>
        <v>0</v>
      </c>
      <c r="K31" s="180" t="e">
        <f>INDEX(方位係数!$B$2:$J$10,MATCH($E31,方位係数!$A$2:$A$10,0),MATCH($D$4,方位係数!$B$1:$J$1))</f>
        <v>#N/A</v>
      </c>
      <c r="L31" s="180" t="e">
        <f t="shared" si="5"/>
        <v>#N/A</v>
      </c>
      <c r="M31" s="180" t="e">
        <f>INDEX(方位係数!$B$13:$J$21,MATCH($E31,方位係数!$A$13:$A$21,0),MATCH($D$4,方位係数!$B$12:$J$12))</f>
        <v>#N/A</v>
      </c>
      <c r="N31" s="180" t="e">
        <f t="shared" si="6"/>
        <v>#N/A</v>
      </c>
      <c r="O31" s="201"/>
      <c r="P31" s="309"/>
      <c r="Q31" s="312"/>
    </row>
    <row r="32" spans="1:17" ht="18" customHeight="1" x14ac:dyDescent="0.15">
      <c r="C32" s="345" t="s">
        <v>404</v>
      </c>
      <c r="D32" s="361"/>
      <c r="E32" s="177" t="s">
        <v>28</v>
      </c>
      <c r="F32" s="203">
        <f>IF($N$4="床断熱",1.82*0.45,0)</f>
        <v>0</v>
      </c>
      <c r="G32" s="61"/>
      <c r="H32" s="204">
        <v>1</v>
      </c>
      <c r="I32" s="203">
        <f t="shared" si="7"/>
        <v>0</v>
      </c>
      <c r="J32" s="180">
        <f t="shared" si="4"/>
        <v>0</v>
      </c>
      <c r="K32" s="180" t="e">
        <f>INDEX(方位係数!$B$2:$J$10,MATCH($E32,方位係数!$A$2:$A$10,0),MATCH($D$4,方位係数!$B$1:$J$1))</f>
        <v>#N/A</v>
      </c>
      <c r="L32" s="180" t="e">
        <f t="shared" si="5"/>
        <v>#N/A</v>
      </c>
      <c r="M32" s="180" t="e">
        <f>INDEX(方位係数!$B$13:$J$21,MATCH($E32,方位係数!$A$13:$A$21,0),MATCH($D$4,方位係数!$B$12:$J$12))</f>
        <v>#N/A</v>
      </c>
      <c r="N32" s="180" t="e">
        <f t="shared" si="6"/>
        <v>#N/A</v>
      </c>
      <c r="O32" s="201"/>
      <c r="P32" s="309"/>
      <c r="Q32" s="312"/>
    </row>
    <row r="33" spans="1:17" ht="18" customHeight="1" thickBot="1" x14ac:dyDescent="0.2">
      <c r="C33" s="362" t="s">
        <v>405</v>
      </c>
      <c r="D33" s="363"/>
      <c r="E33" s="205"/>
      <c r="F33" s="182">
        <f>IF($N$4="床断熱",3.64*0.45,0)</f>
        <v>0</v>
      </c>
      <c r="G33" s="70"/>
      <c r="H33" s="183">
        <v>0.7</v>
      </c>
      <c r="I33" s="182">
        <f t="shared" si="7"/>
        <v>0</v>
      </c>
      <c r="J33" s="184">
        <f t="shared" ref="J33" si="8">G33*0.034</f>
        <v>0</v>
      </c>
      <c r="K33" s="206">
        <v>0</v>
      </c>
      <c r="L33" s="206">
        <f t="shared" si="5"/>
        <v>0</v>
      </c>
      <c r="M33" s="206">
        <v>0</v>
      </c>
      <c r="N33" s="206">
        <f t="shared" si="6"/>
        <v>0</v>
      </c>
      <c r="O33" s="201"/>
      <c r="P33" s="309"/>
      <c r="Q33" s="313"/>
    </row>
    <row r="34" spans="1:17" ht="18" customHeight="1" thickTop="1" x14ac:dyDescent="0.15">
      <c r="C34" s="207"/>
      <c r="D34" s="364" t="s">
        <v>79</v>
      </c>
      <c r="E34" s="365"/>
      <c r="F34" s="208">
        <f>IF($N$4="床断熱",67.9+SUM(F28:F33),0)</f>
        <v>0</v>
      </c>
      <c r="G34" s="167"/>
      <c r="H34" s="209" t="s">
        <v>33</v>
      </c>
      <c r="I34" s="208">
        <f>SUM(I26:I33)</f>
        <v>0</v>
      </c>
      <c r="J34" s="127"/>
      <c r="K34" s="187" t="s">
        <v>411</v>
      </c>
      <c r="L34" s="189" t="e">
        <f>SUM(L26:L33)</f>
        <v>#N/A</v>
      </c>
      <c r="M34" s="187" t="s">
        <v>412</v>
      </c>
      <c r="N34" s="189" t="e">
        <f>SUM(N26:N33)</f>
        <v>#N/A</v>
      </c>
      <c r="O34" s="119"/>
    </row>
    <row r="35" spans="1:17" ht="48" customHeight="1" thickBot="1" x14ac:dyDescent="0.2">
      <c r="C35" s="304" t="s">
        <v>418</v>
      </c>
      <c r="D35" s="304"/>
      <c r="E35" s="304"/>
      <c r="F35" s="210" t="s">
        <v>34</v>
      </c>
      <c r="G35" s="211" t="s">
        <v>416</v>
      </c>
      <c r="H35" s="125" t="s">
        <v>23</v>
      </c>
      <c r="I35" s="125" t="s">
        <v>273</v>
      </c>
    </row>
    <row r="36" spans="1:17" ht="18" customHeight="1" thickTop="1" x14ac:dyDescent="0.15">
      <c r="C36" s="409" t="s">
        <v>406</v>
      </c>
      <c r="D36" s="409"/>
      <c r="E36" s="409"/>
      <c r="F36" s="174">
        <f>IF($N$4="床断熱",3.185,0)</f>
        <v>0</v>
      </c>
      <c r="G36" s="58">
        <v>0.99</v>
      </c>
      <c r="H36" s="175">
        <v>1</v>
      </c>
      <c r="I36" s="174">
        <f>F36*G36*H36</f>
        <v>0</v>
      </c>
      <c r="P36" s="120" t="s">
        <v>213</v>
      </c>
      <c r="Q36" s="356" t="s">
        <v>506</v>
      </c>
    </row>
    <row r="37" spans="1:17" ht="18" customHeight="1" x14ac:dyDescent="0.15">
      <c r="C37" s="410" t="s">
        <v>407</v>
      </c>
      <c r="D37" s="410"/>
      <c r="E37" s="410"/>
      <c r="F37" s="178">
        <f>IF($N$4="床断熱",3.185,0)</f>
        <v>0</v>
      </c>
      <c r="G37" s="59">
        <v>0.99</v>
      </c>
      <c r="H37" s="179">
        <v>0.7</v>
      </c>
      <c r="I37" s="178">
        <f>F37*G37*H37</f>
        <v>0</v>
      </c>
      <c r="Q37" s="357"/>
    </row>
    <row r="38" spans="1:17" ht="18" customHeight="1" x14ac:dyDescent="0.15">
      <c r="C38" s="410" t="s">
        <v>408</v>
      </c>
      <c r="D38" s="410"/>
      <c r="E38" s="410"/>
      <c r="F38" s="178">
        <f>IF($N$4="床断熱",3.64,0)</f>
        <v>0</v>
      </c>
      <c r="G38" s="59">
        <v>0.99</v>
      </c>
      <c r="H38" s="179">
        <v>1</v>
      </c>
      <c r="I38" s="178">
        <f>F38*G38*H38</f>
        <v>0</v>
      </c>
      <c r="Q38" s="357"/>
    </row>
    <row r="39" spans="1:17" ht="18" customHeight="1" thickBot="1" x14ac:dyDescent="0.2">
      <c r="C39" s="411" t="s">
        <v>409</v>
      </c>
      <c r="D39" s="411"/>
      <c r="E39" s="411"/>
      <c r="F39" s="186">
        <f>IF($N$4="床断熱",3.64,0)</f>
        <v>0</v>
      </c>
      <c r="G39" s="70">
        <v>0.99</v>
      </c>
      <c r="H39" s="212">
        <v>0.7</v>
      </c>
      <c r="I39" s="213">
        <f>F39*G39*H39</f>
        <v>0</v>
      </c>
      <c r="Q39" s="357"/>
    </row>
    <row r="40" spans="1:17" ht="20.25" customHeight="1" thickTop="1" thickBot="1" x14ac:dyDescent="0.2">
      <c r="C40" s="119" t="s">
        <v>425</v>
      </c>
      <c r="F40" s="190"/>
      <c r="H40" s="187" t="s">
        <v>191</v>
      </c>
      <c r="I40" s="186">
        <f>SUM(I36:I39)</f>
        <v>0</v>
      </c>
      <c r="Q40" s="358"/>
    </row>
    <row r="41" spans="1:17" ht="20.25" customHeight="1" thickTop="1" x14ac:dyDescent="0.15">
      <c r="C41" s="119" t="s">
        <v>433</v>
      </c>
      <c r="F41" s="190"/>
      <c r="Q41" s="214"/>
    </row>
    <row r="42" spans="1:17" ht="9" customHeight="1" x14ac:dyDescent="0.15">
      <c r="F42" s="190"/>
    </row>
    <row r="43" spans="1:17" s="42" customFormat="1" ht="18" customHeight="1" x14ac:dyDescent="0.15">
      <c r="A43" s="119"/>
      <c r="B43" s="119"/>
      <c r="C43" s="122" t="s">
        <v>509</v>
      </c>
      <c r="D43" s="119"/>
      <c r="E43" s="119"/>
      <c r="F43" s="119"/>
      <c r="G43" s="119"/>
      <c r="H43" s="119"/>
      <c r="I43" s="119"/>
      <c r="J43" s="119"/>
      <c r="K43" s="119"/>
      <c r="L43" s="119"/>
      <c r="M43" s="119"/>
      <c r="N43" s="119"/>
      <c r="O43" s="119"/>
      <c r="P43" s="120"/>
      <c r="Q43" s="215"/>
    </row>
    <row r="44" spans="1:17" s="4" customFormat="1" ht="60.75" customHeight="1" thickBot="1" x14ac:dyDescent="0.2">
      <c r="A44" s="171"/>
      <c r="B44" s="146"/>
      <c r="C44" s="314" t="s">
        <v>419</v>
      </c>
      <c r="D44" s="315"/>
      <c r="E44" s="316"/>
      <c r="F44" s="125" t="s">
        <v>186</v>
      </c>
      <c r="G44" s="125" t="s">
        <v>415</v>
      </c>
      <c r="H44" s="125" t="s">
        <v>23</v>
      </c>
      <c r="I44" s="125" t="s">
        <v>24</v>
      </c>
      <c r="J44" s="125" t="s">
        <v>287</v>
      </c>
      <c r="K44" s="125" t="s">
        <v>188</v>
      </c>
      <c r="L44" s="125" t="s">
        <v>285</v>
      </c>
      <c r="M44" s="125" t="s">
        <v>187</v>
      </c>
      <c r="N44" s="125" t="s">
        <v>288</v>
      </c>
      <c r="O44" s="146"/>
      <c r="P44" s="120"/>
      <c r="Q44" s="216"/>
    </row>
    <row r="45" spans="1:17" ht="18" customHeight="1" thickTop="1" x14ac:dyDescent="0.15">
      <c r="C45" s="345" t="s">
        <v>410</v>
      </c>
      <c r="D45" s="361"/>
      <c r="E45" s="177" t="s">
        <v>26</v>
      </c>
      <c r="F45" s="178">
        <f>IF($N$4="基礎断熱",4.71,0)</f>
        <v>0</v>
      </c>
      <c r="G45" s="62"/>
      <c r="H45" s="179">
        <v>1</v>
      </c>
      <c r="I45" s="178">
        <f>F45*G45*H45</f>
        <v>0</v>
      </c>
      <c r="J45" s="180">
        <f t="shared" ref="J45:J48" si="9">G45*0.034</f>
        <v>0</v>
      </c>
      <c r="K45" s="180" t="e">
        <f>INDEX(方位係数!$B$2:$J$10,MATCH($E45,方位係数!$A$2:$A$10,0),MATCH($D$4,方位係数!$B$1:$J$1))</f>
        <v>#N/A</v>
      </c>
      <c r="L45" s="180" t="e">
        <f t="shared" ref="L45:L48" si="10">$K45*$F45*$J45</f>
        <v>#N/A</v>
      </c>
      <c r="M45" s="180" t="e">
        <f>INDEX(方位係数!$B$13:$J$21,MATCH($E45,方位係数!$A$13:$A$21,0),MATCH($D$4,方位係数!$B$12:$J$12))</f>
        <v>#N/A</v>
      </c>
      <c r="N45" s="180" t="e">
        <f t="shared" ref="N45:N48" si="11">$M45*$F45*$J45</f>
        <v>#N/A</v>
      </c>
      <c r="O45" s="201"/>
      <c r="P45" s="157" t="s">
        <v>213</v>
      </c>
      <c r="Q45" s="342" t="s">
        <v>427</v>
      </c>
    </row>
    <row r="46" spans="1:17" ht="18" customHeight="1" x14ac:dyDescent="0.15">
      <c r="C46" s="345" t="s">
        <v>410</v>
      </c>
      <c r="D46" s="361"/>
      <c r="E46" s="177" t="s">
        <v>27</v>
      </c>
      <c r="F46" s="178">
        <f>IF($N$4="基礎断熱",3.28,0)</f>
        <v>0</v>
      </c>
      <c r="G46" s="59"/>
      <c r="H46" s="179">
        <v>1</v>
      </c>
      <c r="I46" s="178">
        <f>F46*G46*H46</f>
        <v>0</v>
      </c>
      <c r="J46" s="180">
        <f t="shared" si="9"/>
        <v>0</v>
      </c>
      <c r="K46" s="180" t="e">
        <f>INDEX(方位係数!$B$2:$J$10,MATCH($E46,方位係数!$A$2:$A$10,0),MATCH($D$4,方位係数!$B$1:$J$1))</f>
        <v>#N/A</v>
      </c>
      <c r="L46" s="180" t="e">
        <f t="shared" si="10"/>
        <v>#N/A</v>
      </c>
      <c r="M46" s="180" t="e">
        <f>INDEX(方位係数!$B$13:$J$21,MATCH($E46,方位係数!$A$13:$A$21,0),MATCH($D$4,方位係数!$B$12:$J$12))</f>
        <v>#N/A</v>
      </c>
      <c r="N46" s="180" t="e">
        <f t="shared" si="11"/>
        <v>#N/A</v>
      </c>
      <c r="O46" s="201"/>
      <c r="P46" s="157"/>
      <c r="Q46" s="343"/>
    </row>
    <row r="47" spans="1:17" ht="18" customHeight="1" x14ac:dyDescent="0.15">
      <c r="C47" s="345" t="s">
        <v>410</v>
      </c>
      <c r="D47" s="361"/>
      <c r="E47" s="177" t="s">
        <v>28</v>
      </c>
      <c r="F47" s="203">
        <f>IF($N$4="基礎断熱",4.71,0)</f>
        <v>0</v>
      </c>
      <c r="G47" s="59"/>
      <c r="H47" s="204">
        <v>1</v>
      </c>
      <c r="I47" s="203">
        <f>F47*G47*H47</f>
        <v>0</v>
      </c>
      <c r="J47" s="180">
        <f t="shared" si="9"/>
        <v>0</v>
      </c>
      <c r="K47" s="180" t="e">
        <f>INDEX(方位係数!$B$2:$J$10,MATCH($E47,方位係数!$A$2:$A$10,0),MATCH($D$4,方位係数!$B$1:$J$1))</f>
        <v>#N/A</v>
      </c>
      <c r="L47" s="180" t="e">
        <f t="shared" si="10"/>
        <v>#N/A</v>
      </c>
      <c r="M47" s="180" t="e">
        <f>INDEX(方位係数!$B$13:$J$21,MATCH($E47,方位係数!$A$13:$A$21,0),MATCH($D$4,方位係数!$B$12:$J$12))</f>
        <v>#N/A</v>
      </c>
      <c r="N47" s="180" t="e">
        <f t="shared" si="11"/>
        <v>#N/A</v>
      </c>
      <c r="O47" s="201"/>
      <c r="P47" s="157"/>
      <c r="Q47" s="343"/>
    </row>
    <row r="48" spans="1:17" ht="18" customHeight="1" thickBot="1" x14ac:dyDescent="0.2">
      <c r="C48" s="345" t="s">
        <v>410</v>
      </c>
      <c r="D48" s="361"/>
      <c r="E48" s="177" t="s">
        <v>29</v>
      </c>
      <c r="F48" s="213">
        <f>IF($N$4="基礎断熱",3.28,0)</f>
        <v>0</v>
      </c>
      <c r="G48" s="70"/>
      <c r="H48" s="212">
        <v>1</v>
      </c>
      <c r="I48" s="213">
        <f>F48*G48*H48</f>
        <v>0</v>
      </c>
      <c r="J48" s="184">
        <f t="shared" si="9"/>
        <v>0</v>
      </c>
      <c r="K48" s="206" t="e">
        <f>INDEX(方位係数!$B$2:$J$10,MATCH($E48,方位係数!$A$2:$A$10,0),MATCH($D$4,方位係数!$B$1:$J$1))</f>
        <v>#N/A</v>
      </c>
      <c r="L48" s="206" t="e">
        <f t="shared" si="10"/>
        <v>#N/A</v>
      </c>
      <c r="M48" s="206" t="e">
        <f>INDEX(方位係数!$B$13:$J$21,MATCH($E48,方位係数!$A$13:$A$21,0),MATCH($D$4,方位係数!$B$12:$J$12))</f>
        <v>#N/A</v>
      </c>
      <c r="N48" s="206" t="e">
        <f t="shared" si="11"/>
        <v>#N/A</v>
      </c>
      <c r="O48" s="201"/>
      <c r="P48" s="157"/>
      <c r="Q48" s="344"/>
    </row>
    <row r="49" spans="1:17" ht="18" customHeight="1" thickTop="1" thickBot="1" x14ac:dyDescent="0.2">
      <c r="C49" s="207"/>
      <c r="D49" s="359" t="s">
        <v>429</v>
      </c>
      <c r="E49" s="360"/>
      <c r="F49" s="186">
        <f>IF($N$4="基礎断熱",67.9+SUM(F45:F48),0)</f>
        <v>0</v>
      </c>
      <c r="G49" s="167"/>
      <c r="H49" s="187" t="s">
        <v>33</v>
      </c>
      <c r="I49" s="186">
        <f>SUM(I43:I48)</f>
        <v>0</v>
      </c>
      <c r="J49" s="127"/>
      <c r="K49" s="187" t="s">
        <v>411</v>
      </c>
      <c r="L49" s="189" t="e">
        <f>SUM(L40:L48)</f>
        <v>#N/A</v>
      </c>
      <c r="M49" s="187" t="s">
        <v>412</v>
      </c>
      <c r="N49" s="189" t="e">
        <f>SUM(N40:N48)</f>
        <v>#N/A</v>
      </c>
      <c r="O49" s="119"/>
    </row>
    <row r="50" spans="1:17" ht="48" customHeight="1" thickTop="1" x14ac:dyDescent="0.15">
      <c r="C50" s="304" t="s">
        <v>418</v>
      </c>
      <c r="D50" s="304"/>
      <c r="E50" s="304"/>
      <c r="F50" s="210" t="s">
        <v>34</v>
      </c>
      <c r="G50" s="211" t="s">
        <v>416</v>
      </c>
      <c r="H50" s="125" t="s">
        <v>23</v>
      </c>
      <c r="I50" s="125" t="s">
        <v>273</v>
      </c>
      <c r="Q50" s="342" t="s">
        <v>507</v>
      </c>
    </row>
    <row r="51" spans="1:17" ht="18" customHeight="1" thickBot="1" x14ac:dyDescent="0.2">
      <c r="C51" s="376" t="s">
        <v>413</v>
      </c>
      <c r="D51" s="377"/>
      <c r="E51" s="378"/>
      <c r="F51" s="194">
        <f>IF($N$4="基礎断熱",35.49,0)</f>
        <v>0</v>
      </c>
      <c r="G51" s="89">
        <v>0.99</v>
      </c>
      <c r="H51" s="217">
        <v>1</v>
      </c>
      <c r="I51" s="218">
        <f>F51*G51*H51</f>
        <v>0</v>
      </c>
      <c r="O51" s="119"/>
      <c r="P51" s="309" t="s">
        <v>213</v>
      </c>
      <c r="Q51" s="343"/>
    </row>
    <row r="52" spans="1:17" ht="18" customHeight="1" thickTop="1" x14ac:dyDescent="0.15">
      <c r="C52" s="119" t="s">
        <v>434</v>
      </c>
      <c r="D52" s="167"/>
      <c r="E52" s="167"/>
      <c r="F52" s="167"/>
      <c r="G52" s="167"/>
      <c r="H52" s="187" t="s">
        <v>191</v>
      </c>
      <c r="I52" s="186">
        <f>I51</f>
        <v>0</v>
      </c>
      <c r="J52" s="127"/>
      <c r="O52" s="119"/>
      <c r="P52" s="309"/>
      <c r="Q52" s="343"/>
    </row>
    <row r="53" spans="1:17" ht="9" customHeight="1" thickBot="1" x14ac:dyDescent="0.2">
      <c r="Q53" s="344"/>
    </row>
    <row r="54" spans="1:17" s="42" customFormat="1" ht="18" customHeight="1" thickTop="1" x14ac:dyDescent="0.15">
      <c r="A54" s="119"/>
      <c r="B54" s="119"/>
      <c r="C54" s="122" t="s">
        <v>508</v>
      </c>
      <c r="D54" s="119"/>
      <c r="E54" s="119"/>
      <c r="F54" s="119"/>
      <c r="G54" s="119"/>
      <c r="H54" s="119"/>
      <c r="I54" s="119"/>
      <c r="J54" s="119"/>
      <c r="K54" s="119"/>
      <c r="L54" s="119"/>
      <c r="M54" s="119"/>
      <c r="N54" s="119"/>
      <c r="O54" s="119"/>
      <c r="P54" s="119"/>
      <c r="Q54" s="219"/>
    </row>
    <row r="55" spans="1:17" s="4" customFormat="1" ht="66" customHeight="1" thickBot="1" x14ac:dyDescent="0.2">
      <c r="A55" s="171"/>
      <c r="B55" s="146"/>
      <c r="C55" s="314" t="s">
        <v>21</v>
      </c>
      <c r="D55" s="315"/>
      <c r="E55" s="316"/>
      <c r="F55" s="125" t="s">
        <v>186</v>
      </c>
      <c r="G55" s="125" t="s">
        <v>415</v>
      </c>
      <c r="H55" s="125" t="s">
        <v>23</v>
      </c>
      <c r="I55" s="147" t="s">
        <v>24</v>
      </c>
      <c r="J55" s="125" t="s">
        <v>286</v>
      </c>
      <c r="K55" s="125" t="s">
        <v>188</v>
      </c>
      <c r="L55" s="125" t="s">
        <v>285</v>
      </c>
      <c r="M55" s="125" t="s">
        <v>187</v>
      </c>
      <c r="N55" s="125" t="s">
        <v>288</v>
      </c>
      <c r="O55" s="172"/>
      <c r="P55" s="122"/>
      <c r="Q55" s="121"/>
    </row>
    <row r="56" spans="1:17" ht="18" customHeight="1" thickTop="1" x14ac:dyDescent="0.15">
      <c r="C56" s="401" t="s">
        <v>35</v>
      </c>
      <c r="D56" s="402"/>
      <c r="E56" s="403"/>
      <c r="F56" s="198">
        <f>IF($I$4="天井断熱",12.42+3.31,0)</f>
        <v>0</v>
      </c>
      <c r="G56" s="62"/>
      <c r="H56" s="199">
        <v>1</v>
      </c>
      <c r="I56" s="198">
        <f>F56*G56*H56</f>
        <v>0</v>
      </c>
      <c r="J56" s="200">
        <f>G56*0.034</f>
        <v>0</v>
      </c>
      <c r="K56" s="200">
        <v>1</v>
      </c>
      <c r="L56" s="200">
        <f>$K56*$F56*$J56</f>
        <v>0</v>
      </c>
      <c r="M56" s="200">
        <v>1</v>
      </c>
      <c r="N56" s="200">
        <f>$M56*$F56*$J56</f>
        <v>0</v>
      </c>
      <c r="P56" s="310" t="s">
        <v>213</v>
      </c>
      <c r="Q56" s="311" t="s">
        <v>214</v>
      </c>
    </row>
    <row r="57" spans="1:17" ht="18" customHeight="1" thickBot="1" x14ac:dyDescent="0.2">
      <c r="C57" s="412" t="s">
        <v>36</v>
      </c>
      <c r="D57" s="413"/>
      <c r="E57" s="414"/>
      <c r="F57" s="182">
        <f>IF($I$4="天井断熱",52.17,0)</f>
        <v>0</v>
      </c>
      <c r="G57" s="70"/>
      <c r="H57" s="183">
        <v>1</v>
      </c>
      <c r="I57" s="182">
        <f>F57*G57*H57</f>
        <v>0</v>
      </c>
      <c r="J57" s="184">
        <f>G57*0.034</f>
        <v>0</v>
      </c>
      <c r="K57" s="185">
        <v>1</v>
      </c>
      <c r="L57" s="185">
        <f>$K57*$F57*$J57</f>
        <v>0</v>
      </c>
      <c r="M57" s="185">
        <v>1</v>
      </c>
      <c r="N57" s="185">
        <f>$M57*$F57*$J57</f>
        <v>0</v>
      </c>
      <c r="P57" s="310"/>
      <c r="Q57" s="313"/>
    </row>
    <row r="58" spans="1:17" ht="18" customHeight="1" thickTop="1" x14ac:dyDescent="0.15">
      <c r="C58" s="220"/>
      <c r="D58" s="349" t="s">
        <v>37</v>
      </c>
      <c r="E58" s="350"/>
      <c r="F58" s="186">
        <f>SUM(F56:F57)</f>
        <v>0</v>
      </c>
      <c r="G58" s="167"/>
      <c r="H58" s="187" t="s">
        <v>192</v>
      </c>
      <c r="I58" s="186">
        <f>SUM(I56:I57)</f>
        <v>0</v>
      </c>
      <c r="J58" s="188"/>
      <c r="K58" s="187" t="s">
        <v>194</v>
      </c>
      <c r="L58" s="189">
        <f>SUM(L56:L57)</f>
        <v>0</v>
      </c>
      <c r="M58" s="187" t="s">
        <v>193</v>
      </c>
      <c r="N58" s="189">
        <f>SUM(N56:N57)</f>
        <v>0</v>
      </c>
    </row>
    <row r="59" spans="1:17" ht="13.5" customHeight="1" x14ac:dyDescent="0.15">
      <c r="O59" s="119"/>
      <c r="P59" s="341"/>
    </row>
    <row r="60" spans="1:17" ht="18" customHeight="1" x14ac:dyDescent="0.15">
      <c r="C60" s="122" t="s">
        <v>510</v>
      </c>
      <c r="P60" s="341"/>
    </row>
    <row r="61" spans="1:17" s="4" customFormat="1" ht="66" customHeight="1" thickBot="1" x14ac:dyDescent="0.2">
      <c r="A61" s="171"/>
      <c r="B61" s="146"/>
      <c r="C61" s="314" t="s">
        <v>21</v>
      </c>
      <c r="D61" s="316"/>
      <c r="E61" s="147" t="s">
        <v>22</v>
      </c>
      <c r="F61" s="125" t="s">
        <v>186</v>
      </c>
      <c r="G61" s="125" t="s">
        <v>415</v>
      </c>
      <c r="H61" s="125" t="s">
        <v>23</v>
      </c>
      <c r="I61" s="147" t="s">
        <v>24</v>
      </c>
      <c r="J61" s="125" t="s">
        <v>286</v>
      </c>
      <c r="K61" s="125" t="s">
        <v>188</v>
      </c>
      <c r="L61" s="125" t="s">
        <v>285</v>
      </c>
      <c r="M61" s="125" t="s">
        <v>187</v>
      </c>
      <c r="N61" s="125" t="s">
        <v>288</v>
      </c>
      <c r="O61" s="172"/>
      <c r="P61" s="122"/>
      <c r="Q61" s="121"/>
    </row>
    <row r="62" spans="1:17" ht="18" customHeight="1" thickTop="1" x14ac:dyDescent="0.15">
      <c r="C62" s="404" t="s">
        <v>80</v>
      </c>
      <c r="D62" s="407"/>
      <c r="E62" s="221" t="s">
        <v>38</v>
      </c>
      <c r="F62" s="174">
        <f>IF($I$4="屋根断熱",57.2,0)</f>
        <v>0</v>
      </c>
      <c r="G62" s="58"/>
      <c r="H62" s="175">
        <v>1</v>
      </c>
      <c r="I62" s="174">
        <f>F62*G62*H62</f>
        <v>0</v>
      </c>
      <c r="J62" s="176">
        <f t="shared" ref="J62:J71" si="12">G62*0.034</f>
        <v>0</v>
      </c>
      <c r="K62" s="176" t="e">
        <f>INDEX(方位係数!$B$2:$J$10,MATCH($E62,方位係数!$A$2:$A$10,0),MATCH($D$4,方位係数!$B$1:$J$1))</f>
        <v>#N/A</v>
      </c>
      <c r="L62" s="176" t="e">
        <f t="shared" ref="L62:L71" si="13">$K62*$F62*$J62</f>
        <v>#N/A</v>
      </c>
      <c r="M62" s="176" t="e">
        <f>INDEX(方位係数!$B$13:$J$21,MATCH($E62,方位係数!$A$13:$A$21,0),MATCH($D$4,方位係数!$B$12:$J$12))</f>
        <v>#N/A</v>
      </c>
      <c r="N62" s="176" t="e">
        <f t="shared" ref="N62:N71" si="14">$M62*$F62*$J62</f>
        <v>#N/A</v>
      </c>
      <c r="P62" s="120" t="s">
        <v>213</v>
      </c>
      <c r="Q62" s="311" t="s">
        <v>441</v>
      </c>
    </row>
    <row r="63" spans="1:17" ht="18" customHeight="1" x14ac:dyDescent="0.15">
      <c r="C63" s="345" t="s">
        <v>82</v>
      </c>
      <c r="D63" s="346"/>
      <c r="E63" s="222" t="s">
        <v>38</v>
      </c>
      <c r="F63" s="178">
        <f>IF($I$4="屋根断熱",13.16,0)</f>
        <v>0</v>
      </c>
      <c r="G63" s="59"/>
      <c r="H63" s="179">
        <v>1</v>
      </c>
      <c r="I63" s="178">
        <f>F63*G63*H63</f>
        <v>0</v>
      </c>
      <c r="J63" s="180">
        <f>G63*0.034</f>
        <v>0</v>
      </c>
      <c r="K63" s="180" t="e">
        <f>INDEX(方位係数!$B$2:$J$10,MATCH($E63,方位係数!$A$2:$A$10,0),MATCH($D$4,方位係数!$B$1:$J$1))</f>
        <v>#N/A</v>
      </c>
      <c r="L63" s="180" t="e">
        <f>$K63*$F63*$J63</f>
        <v>#N/A</v>
      </c>
      <c r="M63" s="180" t="e">
        <f>INDEX(方位係数!$B$13:$J$21,MATCH($E63,方位係数!$A$13:$A$21,0),MATCH($D$4,方位係数!$B$12:$J$12))</f>
        <v>#N/A</v>
      </c>
      <c r="N63" s="180" t="e">
        <f>$M63*$F63*$J63</f>
        <v>#N/A</v>
      </c>
      <c r="P63" s="120"/>
      <c r="Q63" s="312"/>
    </row>
    <row r="64" spans="1:17" ht="18" customHeight="1" x14ac:dyDescent="0.15">
      <c r="C64" s="406" t="s">
        <v>84</v>
      </c>
      <c r="D64" s="408"/>
      <c r="E64" s="223" t="s">
        <v>38</v>
      </c>
      <c r="F64" s="224">
        <f>IF($I$4="屋根断熱",5.56,0)</f>
        <v>0</v>
      </c>
      <c r="G64" s="70"/>
      <c r="H64" s="225">
        <v>1</v>
      </c>
      <c r="I64" s="224">
        <f>F64*G64*H64</f>
        <v>0</v>
      </c>
      <c r="J64" s="184">
        <f>G64*0.034</f>
        <v>0</v>
      </c>
      <c r="K64" s="184" t="e">
        <f>INDEX(方位係数!$B$2:$J$10,MATCH($E64,方位係数!$A$2:$A$10,0),MATCH($D$4,方位係数!$B$1:$J$1))</f>
        <v>#N/A</v>
      </c>
      <c r="L64" s="184" t="e">
        <f>$K64*$F64*$J64</f>
        <v>#N/A</v>
      </c>
      <c r="M64" s="184" t="e">
        <f>INDEX(方位係数!$B$13:$J$21,MATCH($E64,方位係数!$A$13:$A$21,0),MATCH($D$4,方位係数!$B$12:$J$12))</f>
        <v>#N/A</v>
      </c>
      <c r="N64" s="184" t="e">
        <f>$M64*$F64*$J64</f>
        <v>#N/A</v>
      </c>
      <c r="P64" s="120"/>
      <c r="Q64" s="312"/>
    </row>
    <row r="65" spans="1:17" ht="6" customHeight="1" x14ac:dyDescent="0.15">
      <c r="Q65" s="312"/>
    </row>
    <row r="66" spans="1:17" ht="18" customHeight="1" x14ac:dyDescent="0.15">
      <c r="C66" s="404" t="s">
        <v>81</v>
      </c>
      <c r="D66" s="407"/>
      <c r="E66" s="226" t="s">
        <v>29</v>
      </c>
      <c r="F66" s="198">
        <f>IF($I$4="屋根断熱",3.35,0)</f>
        <v>0</v>
      </c>
      <c r="G66" s="62"/>
      <c r="H66" s="199">
        <v>1</v>
      </c>
      <c r="I66" s="198">
        <f t="shared" ref="I66:I71" si="15">F66*G66*H66</f>
        <v>0</v>
      </c>
      <c r="J66" s="200">
        <f t="shared" si="12"/>
        <v>0</v>
      </c>
      <c r="K66" s="200" t="e">
        <f>INDEX(方位係数!$B$2:$J$10,MATCH($E66,方位係数!$A$2:$A$10,0),MATCH($D$4,方位係数!$B$1:$J$1))</f>
        <v>#N/A</v>
      </c>
      <c r="L66" s="200" t="e">
        <f t="shared" si="13"/>
        <v>#N/A</v>
      </c>
      <c r="M66" s="200" t="e">
        <f>INDEX(方位係数!$B$13:$J$21,MATCH($E66,方位係数!$A$13:$A$21,0),MATCH($D$4,方位係数!$B$12:$J$12))</f>
        <v>#N/A</v>
      </c>
      <c r="N66" s="200" t="e">
        <f t="shared" si="14"/>
        <v>#N/A</v>
      </c>
      <c r="P66" s="120"/>
      <c r="Q66" s="312"/>
    </row>
    <row r="67" spans="1:17" ht="18" customHeight="1" x14ac:dyDescent="0.15">
      <c r="C67" s="345" t="s">
        <v>81</v>
      </c>
      <c r="D67" s="346"/>
      <c r="E67" s="227" t="s">
        <v>27</v>
      </c>
      <c r="F67" s="178">
        <f>IF($I$4="屋根断熱",3.35,0)</f>
        <v>0</v>
      </c>
      <c r="G67" s="59"/>
      <c r="H67" s="179">
        <v>1</v>
      </c>
      <c r="I67" s="178">
        <f t="shared" si="15"/>
        <v>0</v>
      </c>
      <c r="J67" s="180">
        <f t="shared" si="12"/>
        <v>0</v>
      </c>
      <c r="K67" s="180" t="e">
        <f>INDEX(方位係数!$B$2:$J$10,MATCH($E67,方位係数!$A$2:$A$10,0),MATCH($D$4,方位係数!$B$1:$J$1))</f>
        <v>#N/A</v>
      </c>
      <c r="L67" s="180" t="e">
        <f t="shared" si="13"/>
        <v>#N/A</v>
      </c>
      <c r="M67" s="180" t="e">
        <f>INDEX(方位係数!$B$13:$J$21,MATCH($E67,方位係数!$A$13:$A$21,0),MATCH($D$4,方位係数!$B$12:$J$12))</f>
        <v>#N/A</v>
      </c>
      <c r="N67" s="180" t="e">
        <f t="shared" si="14"/>
        <v>#N/A</v>
      </c>
      <c r="P67" s="120"/>
      <c r="Q67" s="312"/>
    </row>
    <row r="68" spans="1:17" ht="18" customHeight="1" x14ac:dyDescent="0.15">
      <c r="C68" s="345" t="s">
        <v>83</v>
      </c>
      <c r="D68" s="346"/>
      <c r="E68" s="227" t="s">
        <v>29</v>
      </c>
      <c r="F68" s="178">
        <f>IF($I$4="屋根断熱",0.58,0)</f>
        <v>0</v>
      </c>
      <c r="G68" s="59"/>
      <c r="H68" s="179">
        <v>1</v>
      </c>
      <c r="I68" s="178">
        <f t="shared" si="15"/>
        <v>0</v>
      </c>
      <c r="J68" s="180">
        <f t="shared" si="12"/>
        <v>0</v>
      </c>
      <c r="K68" s="180" t="e">
        <f>INDEX(方位係数!$B$2:$J$10,MATCH($E68,方位係数!$A$2:$A$10,0),MATCH($D$4,方位係数!$B$1:$J$1))</f>
        <v>#N/A</v>
      </c>
      <c r="L68" s="180" t="e">
        <f t="shared" si="13"/>
        <v>#N/A</v>
      </c>
      <c r="M68" s="180" t="e">
        <f>INDEX(方位係数!$B$13:$J$21,MATCH($E68,方位係数!$A$13:$A$21,0),MATCH($D$4,方位係数!$B$12:$J$12))</f>
        <v>#N/A</v>
      </c>
      <c r="N68" s="180" t="e">
        <f t="shared" si="14"/>
        <v>#N/A</v>
      </c>
      <c r="P68" s="120"/>
      <c r="Q68" s="312"/>
    </row>
    <row r="69" spans="1:17" ht="18" customHeight="1" x14ac:dyDescent="0.15">
      <c r="C69" s="345" t="s">
        <v>83</v>
      </c>
      <c r="D69" s="346"/>
      <c r="E69" s="227" t="s">
        <v>27</v>
      </c>
      <c r="F69" s="178">
        <f>IF($I$4="屋根断熱",0.58,0)</f>
        <v>0</v>
      </c>
      <c r="G69" s="59"/>
      <c r="H69" s="179">
        <v>1</v>
      </c>
      <c r="I69" s="178">
        <f t="shared" si="15"/>
        <v>0</v>
      </c>
      <c r="J69" s="180">
        <f t="shared" si="12"/>
        <v>0</v>
      </c>
      <c r="K69" s="180" t="e">
        <f>INDEX(方位係数!$B$2:$J$10,MATCH($E69,方位係数!$A$2:$A$10,0),MATCH($D$4,方位係数!$B$1:$J$1))</f>
        <v>#N/A</v>
      </c>
      <c r="L69" s="180" t="e">
        <f t="shared" si="13"/>
        <v>#N/A</v>
      </c>
      <c r="M69" s="180" t="e">
        <f>INDEX(方位係数!$B$13:$J$21,MATCH($E69,方位係数!$A$13:$A$21,0),MATCH($D$4,方位係数!$B$12:$J$12))</f>
        <v>#N/A</v>
      </c>
      <c r="N69" s="180" t="e">
        <f t="shared" si="14"/>
        <v>#N/A</v>
      </c>
      <c r="P69" s="120"/>
      <c r="Q69" s="312"/>
    </row>
    <row r="70" spans="1:17" ht="18" customHeight="1" x14ac:dyDescent="0.15">
      <c r="C70" s="345" t="s">
        <v>85</v>
      </c>
      <c r="D70" s="346"/>
      <c r="E70" s="227" t="s">
        <v>26</v>
      </c>
      <c r="F70" s="178">
        <f>IF($I$4="屋根断熱",0.21,0)</f>
        <v>0</v>
      </c>
      <c r="G70" s="59"/>
      <c r="H70" s="179">
        <v>1</v>
      </c>
      <c r="I70" s="178">
        <f t="shared" si="15"/>
        <v>0</v>
      </c>
      <c r="J70" s="180">
        <f t="shared" si="12"/>
        <v>0</v>
      </c>
      <c r="K70" s="180" t="e">
        <f>INDEX(方位係数!$B$2:$J$10,MATCH($E70,方位係数!$A$2:$A$10,0),MATCH($D$4,方位係数!$B$1:$J$1))</f>
        <v>#N/A</v>
      </c>
      <c r="L70" s="180" t="e">
        <f t="shared" si="13"/>
        <v>#N/A</v>
      </c>
      <c r="M70" s="180" t="e">
        <f>INDEX(方位係数!$B$13:$J$21,MATCH($E70,方位係数!$A$13:$A$21,0),MATCH($D$4,方位係数!$B$12:$J$12))</f>
        <v>#N/A</v>
      </c>
      <c r="N70" s="180" t="e">
        <f t="shared" si="14"/>
        <v>#N/A</v>
      </c>
      <c r="P70" s="120"/>
      <c r="Q70" s="312"/>
    </row>
    <row r="71" spans="1:17" ht="18" customHeight="1" thickBot="1" x14ac:dyDescent="0.2">
      <c r="C71" s="406" t="s">
        <v>85</v>
      </c>
      <c r="D71" s="363"/>
      <c r="E71" s="228" t="s">
        <v>28</v>
      </c>
      <c r="F71" s="182">
        <f>IF($I$4="屋根断熱",0.21,0)</f>
        <v>0</v>
      </c>
      <c r="G71" s="60"/>
      <c r="H71" s="183">
        <v>1</v>
      </c>
      <c r="I71" s="182">
        <f t="shared" si="15"/>
        <v>0</v>
      </c>
      <c r="J71" s="185">
        <f t="shared" si="12"/>
        <v>0</v>
      </c>
      <c r="K71" s="185" t="e">
        <f>INDEX(方位係数!$B$2:$J$10,MATCH($E71,方位係数!$A$2:$A$10,0),MATCH($D$4,方位係数!$B$1:$J$1))</f>
        <v>#N/A</v>
      </c>
      <c r="L71" s="185" t="e">
        <f t="shared" si="13"/>
        <v>#N/A</v>
      </c>
      <c r="M71" s="185" t="e">
        <f>INDEX(方位係数!$B$13:$J$21,MATCH($E71,方位係数!$A$13:$A$21,0),MATCH($D$4,方位係数!$B$12:$J$12))</f>
        <v>#N/A</v>
      </c>
      <c r="N71" s="185" t="e">
        <f t="shared" si="14"/>
        <v>#N/A</v>
      </c>
      <c r="P71" s="120"/>
      <c r="Q71" s="313"/>
    </row>
    <row r="72" spans="1:17" ht="18" customHeight="1" thickTop="1" x14ac:dyDescent="0.15">
      <c r="D72" s="349" t="s">
        <v>39</v>
      </c>
      <c r="E72" s="350"/>
      <c r="F72" s="186">
        <f>SUM(F62:F71)</f>
        <v>0</v>
      </c>
      <c r="G72" s="167"/>
      <c r="H72" s="187" t="s">
        <v>195</v>
      </c>
      <c r="I72" s="186">
        <f>SUM(I62:I71)</f>
        <v>0</v>
      </c>
      <c r="J72" s="188"/>
      <c r="K72" s="187" t="s">
        <v>197</v>
      </c>
      <c r="L72" s="189" t="e">
        <f>SUM(L62:L71)</f>
        <v>#N/A</v>
      </c>
      <c r="M72" s="187" t="s">
        <v>196</v>
      </c>
      <c r="N72" s="189" t="e">
        <f>SUM(N62:N71)</f>
        <v>#N/A</v>
      </c>
    </row>
    <row r="73" spans="1:17" ht="12" customHeight="1" x14ac:dyDescent="0.15"/>
    <row r="74" spans="1:17" x14ac:dyDescent="0.15">
      <c r="C74" s="122" t="s">
        <v>414</v>
      </c>
    </row>
    <row r="75" spans="1:17" s="4" customFormat="1" ht="66" customHeight="1" thickBot="1" x14ac:dyDescent="0.2">
      <c r="A75" s="171"/>
      <c r="B75" s="146"/>
      <c r="C75" s="147" t="s">
        <v>40</v>
      </c>
      <c r="D75" s="147" t="s">
        <v>22</v>
      </c>
      <c r="E75" s="125" t="s">
        <v>186</v>
      </c>
      <c r="F75" s="125" t="s">
        <v>226</v>
      </c>
      <c r="G75" s="125" t="s">
        <v>23</v>
      </c>
      <c r="H75" s="147" t="s">
        <v>24</v>
      </c>
      <c r="I75" s="125" t="s">
        <v>289</v>
      </c>
      <c r="J75" s="125" t="s">
        <v>188</v>
      </c>
      <c r="K75" s="125" t="s">
        <v>381</v>
      </c>
      <c r="L75" s="125" t="s">
        <v>187</v>
      </c>
      <c r="M75" s="125" t="s">
        <v>382</v>
      </c>
      <c r="N75" s="172"/>
      <c r="O75" s="172"/>
      <c r="P75" s="122"/>
      <c r="Q75" s="121"/>
    </row>
    <row r="76" spans="1:17" ht="18.75" customHeight="1" thickTop="1" x14ac:dyDescent="0.15">
      <c r="C76" s="229" t="s">
        <v>52</v>
      </c>
      <c r="D76" s="197" t="s">
        <v>27</v>
      </c>
      <c r="E76" s="198">
        <v>1.89</v>
      </c>
      <c r="F76" s="78"/>
      <c r="G76" s="199">
        <v>1</v>
      </c>
      <c r="H76" s="198">
        <f>E76*F76*G76</f>
        <v>0</v>
      </c>
      <c r="I76" s="200">
        <f>F76*0.034</f>
        <v>0</v>
      </c>
      <c r="J76" s="200" t="e">
        <f>INDEX(方位係数!$B$2:$J$10,MATCH($D76,方位係数!$A$2:$A$10,0),MATCH($D$4,方位係数!$B$1:$J$1))</f>
        <v>#N/A</v>
      </c>
      <c r="K76" s="200" t="e">
        <f>$J76*$E76*$I76</f>
        <v>#N/A</v>
      </c>
      <c r="L76" s="200" t="e">
        <f>INDEX(方位係数!$B$13:$J$21,MATCH($D76,方位係数!$A$13:$A$21,0),MATCH($D$4,方位係数!$B$12:$J$12))</f>
        <v>#N/A</v>
      </c>
      <c r="M76" s="200" t="e">
        <f>$L76*$E76*$I76</f>
        <v>#N/A</v>
      </c>
      <c r="P76" s="309" t="s">
        <v>213</v>
      </c>
      <c r="Q76" s="311" t="s">
        <v>426</v>
      </c>
    </row>
    <row r="77" spans="1:17" ht="18.75" customHeight="1" thickBot="1" x14ac:dyDescent="0.2">
      <c r="C77" s="230" t="s">
        <v>215</v>
      </c>
      <c r="D77" s="181" t="s">
        <v>28</v>
      </c>
      <c r="E77" s="182" t="e">
        <f>IF(INT(LEFT($D$4,1))&lt;4,1.35,1.62)</f>
        <v>#VALUE!</v>
      </c>
      <c r="F77" s="79"/>
      <c r="G77" s="183">
        <v>1</v>
      </c>
      <c r="H77" s="182" t="e">
        <f t="shared" ref="H77" si="16">E77*F77*G77</f>
        <v>#VALUE!</v>
      </c>
      <c r="I77" s="185">
        <f>F77*0.034</f>
        <v>0</v>
      </c>
      <c r="J77" s="185" t="e">
        <f>INDEX(方位係数!$B$2:$J$10,MATCH($D77,方位係数!$A$2:$A$10,0),MATCH($D$4,方位係数!$B$1:$J$1))</f>
        <v>#N/A</v>
      </c>
      <c r="K77" s="185" t="e">
        <f>$J77*$E77*$I77</f>
        <v>#N/A</v>
      </c>
      <c r="L77" s="185" t="e">
        <f>INDEX(方位係数!$B$13:$J$21,MATCH($D77,方位係数!$A$13:$A$21,0),MATCH($D$4,方位係数!$B$12:$J$12))</f>
        <v>#N/A</v>
      </c>
      <c r="M77" s="185" t="e">
        <f>$L77*$E77*$I77</f>
        <v>#N/A</v>
      </c>
      <c r="P77" s="309"/>
      <c r="Q77" s="312"/>
    </row>
    <row r="78" spans="1:17" ht="18.75" customHeight="1" thickTop="1" thickBot="1" x14ac:dyDescent="0.2">
      <c r="C78" s="400" t="s">
        <v>53</v>
      </c>
      <c r="D78" s="400"/>
      <c r="E78" s="186" t="e">
        <f>SUM(E76:E77)</f>
        <v>#VALUE!</v>
      </c>
      <c r="F78" s="167"/>
      <c r="G78" s="187" t="s">
        <v>54</v>
      </c>
      <c r="H78" s="186" t="e">
        <f>SUM(H76:H77)</f>
        <v>#VALUE!</v>
      </c>
      <c r="I78" s="167"/>
      <c r="J78" s="187" t="s">
        <v>203</v>
      </c>
      <c r="K78" s="189" t="e">
        <f>SUM(K76:K77)</f>
        <v>#N/A</v>
      </c>
      <c r="L78" s="187" t="s">
        <v>202</v>
      </c>
      <c r="M78" s="189" t="e">
        <f>SUM(M76:M77)</f>
        <v>#N/A</v>
      </c>
      <c r="P78" s="309"/>
      <c r="Q78" s="313"/>
    </row>
    <row r="79" spans="1:17" ht="9.75" customHeight="1" thickTop="1" x14ac:dyDescent="0.15">
      <c r="C79" s="127"/>
      <c r="P79" s="309"/>
    </row>
    <row r="80" spans="1:17" ht="18" customHeight="1" x14ac:dyDescent="0.15">
      <c r="C80" s="119" t="s">
        <v>86</v>
      </c>
      <c r="P80" s="156"/>
    </row>
    <row r="81" spans="1:17" s="4" customFormat="1" ht="66" customHeight="1" thickBot="1" x14ac:dyDescent="0.2">
      <c r="A81" s="171"/>
      <c r="B81" s="146"/>
      <c r="C81" s="147" t="s">
        <v>40</v>
      </c>
      <c r="D81" s="147" t="s">
        <v>22</v>
      </c>
      <c r="E81" s="125" t="s">
        <v>186</v>
      </c>
      <c r="F81" s="125" t="s">
        <v>226</v>
      </c>
      <c r="G81" s="125" t="s">
        <v>23</v>
      </c>
      <c r="H81" s="147" t="s">
        <v>24</v>
      </c>
      <c r="I81" s="125" t="s">
        <v>289</v>
      </c>
      <c r="J81" s="125" t="s">
        <v>290</v>
      </c>
      <c r="K81" s="125" t="s">
        <v>188</v>
      </c>
      <c r="L81" s="125" t="s">
        <v>379</v>
      </c>
      <c r="M81" s="125" t="s">
        <v>291</v>
      </c>
      <c r="N81" s="125" t="s">
        <v>187</v>
      </c>
      <c r="O81" s="125" t="s">
        <v>380</v>
      </c>
      <c r="P81" s="122"/>
      <c r="Q81" s="121"/>
    </row>
    <row r="82" spans="1:17" ht="18.75" customHeight="1" thickTop="1" x14ac:dyDescent="0.15">
      <c r="C82" s="231" t="s">
        <v>41</v>
      </c>
      <c r="D82" s="173" t="s">
        <v>26</v>
      </c>
      <c r="E82" s="232" t="e">
        <f>IF(INT(LEFT($D$4,1))&lt;4,2.15,4.59)</f>
        <v>#VALUE!</v>
      </c>
      <c r="F82" s="63"/>
      <c r="G82" s="233">
        <v>1</v>
      </c>
      <c r="H82" s="232" t="e">
        <f t="shared" ref="H82:H97" si="17">E82*F82*G82</f>
        <v>#VALUE!</v>
      </c>
      <c r="I82" s="58"/>
      <c r="J82" s="232">
        <v>0.51</v>
      </c>
      <c r="K82" s="234" t="e">
        <f>INDEX(方位係数!$B$2:$J$10,MATCH($D82,方位係数!$A$2:$A$10,0),MATCH($D$4,方位係数!$B$1:$J$1))</f>
        <v>#N/A</v>
      </c>
      <c r="L82" s="234" t="e">
        <f t="shared" ref="L82:L98" si="18">$I82*$K82*$J82*$E82</f>
        <v>#N/A</v>
      </c>
      <c r="M82" s="232">
        <v>0.93</v>
      </c>
      <c r="N82" s="234" t="e">
        <f>INDEX(方位係数!$B$13:$J$21,MATCH($D82,方位係数!$A$13:$A$21,0),MATCH($D$4,方位係数!$B$12:$J$12))</f>
        <v>#N/A</v>
      </c>
      <c r="O82" s="234" t="e">
        <f t="shared" ref="O82:O98" si="19">$I82*$N82*$M82*$E82</f>
        <v>#N/A</v>
      </c>
      <c r="P82" s="309" t="s">
        <v>213</v>
      </c>
      <c r="Q82" s="311" t="s">
        <v>442</v>
      </c>
    </row>
    <row r="83" spans="1:17" ht="18.75" customHeight="1" x14ac:dyDescent="0.15">
      <c r="C83" s="235" t="s">
        <v>198</v>
      </c>
      <c r="D83" s="177" t="s">
        <v>26</v>
      </c>
      <c r="E83" s="236" t="e">
        <f>IF(INT(LEFT($D$4,1))&lt;4,2.97,3.47)</f>
        <v>#VALUE!</v>
      </c>
      <c r="F83" s="64"/>
      <c r="G83" s="237">
        <v>1</v>
      </c>
      <c r="H83" s="236" t="e">
        <f t="shared" si="17"/>
        <v>#VALUE!</v>
      </c>
      <c r="I83" s="59"/>
      <c r="J83" s="236">
        <v>0.51</v>
      </c>
      <c r="K83" s="238" t="e">
        <f>INDEX(方位係数!$B$2:$J$10,MATCH($D83,方位係数!$A$2:$A$10,0),MATCH($D$4,方位係数!$B$1:$J$1))</f>
        <v>#N/A</v>
      </c>
      <c r="L83" s="238" t="e">
        <f t="shared" si="18"/>
        <v>#N/A</v>
      </c>
      <c r="M83" s="236">
        <v>0.93</v>
      </c>
      <c r="N83" s="238" t="e">
        <f>INDEX(方位係数!$B$13:$J$21,MATCH($D83,方位係数!$A$13:$A$21,0),MATCH($D$4,方位係数!$B$12:$J$12))</f>
        <v>#N/A</v>
      </c>
      <c r="O83" s="238" t="e">
        <f t="shared" si="19"/>
        <v>#N/A</v>
      </c>
      <c r="P83" s="309"/>
      <c r="Q83" s="312"/>
    </row>
    <row r="84" spans="1:17" ht="18.75" customHeight="1" x14ac:dyDescent="0.15">
      <c r="C84" s="235" t="s">
        <v>198</v>
      </c>
      <c r="D84" s="177" t="s">
        <v>26</v>
      </c>
      <c r="E84" s="236" t="e">
        <f>IF(INT(LEFT($D$4,1))&lt;4,2.15,3.47)</f>
        <v>#VALUE!</v>
      </c>
      <c r="F84" s="64"/>
      <c r="G84" s="237">
        <v>1</v>
      </c>
      <c r="H84" s="236" t="e">
        <f t="shared" si="17"/>
        <v>#VALUE!</v>
      </c>
      <c r="I84" s="59"/>
      <c r="J84" s="236">
        <v>0.51</v>
      </c>
      <c r="K84" s="238" t="e">
        <f>INDEX(方位係数!$B$2:$J$10,MATCH($D84,方位係数!$A$2:$A$10,0),MATCH($D$4,方位係数!$B$1:$J$1))</f>
        <v>#N/A</v>
      </c>
      <c r="L84" s="238" t="e">
        <f t="shared" si="18"/>
        <v>#N/A</v>
      </c>
      <c r="M84" s="236">
        <v>0.93</v>
      </c>
      <c r="N84" s="238" t="e">
        <f>INDEX(方位係数!$B$13:$J$21,MATCH($D84,方位係数!$A$13:$A$21,0),MATCH($D$4,方位係数!$B$12:$J$12))</f>
        <v>#N/A</v>
      </c>
      <c r="O84" s="238" t="e">
        <f t="shared" si="19"/>
        <v>#N/A</v>
      </c>
      <c r="P84" s="309"/>
      <c r="Q84" s="312"/>
    </row>
    <row r="85" spans="1:17" ht="18.75" customHeight="1" x14ac:dyDescent="0.15">
      <c r="C85" s="235" t="s">
        <v>198</v>
      </c>
      <c r="D85" s="177" t="s">
        <v>29</v>
      </c>
      <c r="E85" s="236">
        <v>2.15</v>
      </c>
      <c r="F85" s="64"/>
      <c r="G85" s="237">
        <v>1</v>
      </c>
      <c r="H85" s="236">
        <f t="shared" si="17"/>
        <v>0</v>
      </c>
      <c r="I85" s="59"/>
      <c r="J85" s="236">
        <v>0.51</v>
      </c>
      <c r="K85" s="238" t="e">
        <f>INDEX(方位係数!$B$2:$J$10,MATCH($D85,方位係数!$A$2:$A$10,0),MATCH($D$4,方位係数!$B$1:$J$1))</f>
        <v>#N/A</v>
      </c>
      <c r="L85" s="238" t="e">
        <f t="shared" si="18"/>
        <v>#N/A</v>
      </c>
      <c r="M85" s="236">
        <v>0.93</v>
      </c>
      <c r="N85" s="238" t="e">
        <f>INDEX(方位係数!$B$13:$J$21,MATCH($D85,方位係数!$A$13:$A$21,0),MATCH($D$4,方位係数!$B$12:$J$12))</f>
        <v>#N/A</v>
      </c>
      <c r="O85" s="238" t="e">
        <f t="shared" si="19"/>
        <v>#N/A</v>
      </c>
      <c r="P85" s="309"/>
      <c r="Q85" s="312"/>
    </row>
    <row r="86" spans="1:17" ht="18.75" customHeight="1" x14ac:dyDescent="0.15">
      <c r="C86" s="235" t="s">
        <v>42</v>
      </c>
      <c r="D86" s="177" t="s">
        <v>29</v>
      </c>
      <c r="E86" s="236" t="e">
        <f>IF(INT(LEFT($D$4,1))&lt;4,0.6,0.98)</f>
        <v>#VALUE!</v>
      </c>
      <c r="F86" s="64"/>
      <c r="G86" s="237">
        <v>1</v>
      </c>
      <c r="H86" s="236" t="e">
        <f t="shared" si="17"/>
        <v>#VALUE!</v>
      </c>
      <c r="I86" s="59"/>
      <c r="J86" s="236">
        <v>0.51</v>
      </c>
      <c r="K86" s="238" t="e">
        <f>INDEX(方位係数!$B$2:$J$10,MATCH($D86,方位係数!$A$2:$A$10,0),MATCH($D$4,方位係数!$B$1:$J$1))</f>
        <v>#N/A</v>
      </c>
      <c r="L86" s="238" t="e">
        <f t="shared" si="18"/>
        <v>#N/A</v>
      </c>
      <c r="M86" s="236">
        <v>0.93</v>
      </c>
      <c r="N86" s="238" t="e">
        <f>INDEX(方位係数!$B$13:$J$21,MATCH($D86,方位係数!$A$13:$A$21,0),MATCH($D$4,方位係数!$B$12:$J$12))</f>
        <v>#N/A</v>
      </c>
      <c r="O86" s="238" t="e">
        <f t="shared" si="19"/>
        <v>#N/A</v>
      </c>
      <c r="Q86" s="312"/>
    </row>
    <row r="87" spans="1:17" ht="18.75" customHeight="1" x14ac:dyDescent="0.15">
      <c r="C87" s="235" t="s">
        <v>43</v>
      </c>
      <c r="D87" s="177" t="s">
        <v>27</v>
      </c>
      <c r="E87" s="236" t="e">
        <f>IF(INT(LEFT($D$4,1))&lt;4,0.35,0.54)</f>
        <v>#VALUE!</v>
      </c>
      <c r="F87" s="64"/>
      <c r="G87" s="237">
        <v>1</v>
      </c>
      <c r="H87" s="236" t="e">
        <f>E87*F87*G87</f>
        <v>#VALUE!</v>
      </c>
      <c r="I87" s="59"/>
      <c r="J87" s="236">
        <v>0.51</v>
      </c>
      <c r="K87" s="238" t="e">
        <f>INDEX(方位係数!$B$2:$J$10,MATCH($D87,方位係数!$A$2:$A$10,0),MATCH($D$4,方位係数!$B$1:$J$1))</f>
        <v>#N/A</v>
      </c>
      <c r="L87" s="238" t="e">
        <f t="shared" si="18"/>
        <v>#N/A</v>
      </c>
      <c r="M87" s="236">
        <v>0.93</v>
      </c>
      <c r="N87" s="238" t="e">
        <f>INDEX(方位係数!$B$13:$J$21,MATCH($D87,方位係数!$A$13:$A$21,0),MATCH($D$4,方位係数!$B$12:$J$12))</f>
        <v>#N/A</v>
      </c>
      <c r="O87" s="238" t="e">
        <f t="shared" si="19"/>
        <v>#N/A</v>
      </c>
      <c r="Q87" s="312"/>
    </row>
    <row r="88" spans="1:17" ht="18.75" customHeight="1" thickBot="1" x14ac:dyDescent="0.2">
      <c r="C88" s="235" t="s">
        <v>44</v>
      </c>
      <c r="D88" s="177" t="s">
        <v>28</v>
      </c>
      <c r="E88" s="236" t="e">
        <f>IF(INT(LEFT($D$4,1))&lt;4,0.35,0.54)</f>
        <v>#VALUE!</v>
      </c>
      <c r="F88" s="64"/>
      <c r="G88" s="237">
        <v>1</v>
      </c>
      <c r="H88" s="236" t="e">
        <f t="shared" si="17"/>
        <v>#VALUE!</v>
      </c>
      <c r="I88" s="59"/>
      <c r="J88" s="236">
        <v>0.51</v>
      </c>
      <c r="K88" s="238" t="e">
        <f>INDEX(方位係数!$B$2:$J$10,MATCH($D88,方位係数!$A$2:$A$10,0),MATCH($D$4,方位係数!$B$1:$J$1))</f>
        <v>#N/A</v>
      </c>
      <c r="L88" s="238" t="e">
        <f t="shared" si="18"/>
        <v>#N/A</v>
      </c>
      <c r="M88" s="236">
        <v>0.93</v>
      </c>
      <c r="N88" s="238" t="e">
        <f>INDEX(方位係数!$B$13:$J$21,MATCH($D88,方位係数!$A$13:$A$21,0),MATCH($D$4,方位係数!$B$12:$J$12))</f>
        <v>#N/A</v>
      </c>
      <c r="O88" s="238" t="e">
        <f t="shared" si="19"/>
        <v>#N/A</v>
      </c>
      <c r="Q88" s="313"/>
    </row>
    <row r="89" spans="1:17" ht="18.75" customHeight="1" thickTop="1" x14ac:dyDescent="0.15">
      <c r="C89" s="235" t="s">
        <v>45</v>
      </c>
      <c r="D89" s="177" t="s">
        <v>28</v>
      </c>
      <c r="E89" s="236" t="e">
        <f>IF(INT(LEFT($D$4,1))&lt;4,0.35,0.54)</f>
        <v>#VALUE!</v>
      </c>
      <c r="F89" s="64"/>
      <c r="G89" s="237">
        <v>1</v>
      </c>
      <c r="H89" s="236" t="e">
        <f t="shared" si="17"/>
        <v>#VALUE!</v>
      </c>
      <c r="I89" s="59"/>
      <c r="J89" s="236">
        <v>0.51</v>
      </c>
      <c r="K89" s="238" t="e">
        <f>INDEX(方位係数!$B$2:$J$10,MATCH($D89,方位係数!$A$2:$A$10,0),MATCH($D$4,方位係数!$B$1:$J$1))</f>
        <v>#N/A</v>
      </c>
      <c r="L89" s="238" t="e">
        <f t="shared" si="18"/>
        <v>#N/A</v>
      </c>
      <c r="M89" s="236">
        <v>0.93</v>
      </c>
      <c r="N89" s="238" t="e">
        <f>INDEX(方位係数!$B$13:$J$21,MATCH($D89,方位係数!$A$13:$A$21,0),MATCH($D$4,方位係数!$B$12:$J$12))</f>
        <v>#N/A</v>
      </c>
      <c r="O89" s="238" t="e">
        <f t="shared" si="19"/>
        <v>#N/A</v>
      </c>
    </row>
    <row r="90" spans="1:17" ht="18.75" customHeight="1" x14ac:dyDescent="0.15">
      <c r="C90" s="235" t="s">
        <v>46</v>
      </c>
      <c r="D90" s="177" t="s">
        <v>28</v>
      </c>
      <c r="E90" s="236" t="e">
        <f>IF(INT(LEFT($D$4,1))&lt;4,0.35,0.54)</f>
        <v>#VALUE!</v>
      </c>
      <c r="F90" s="64"/>
      <c r="G90" s="237">
        <v>1</v>
      </c>
      <c r="H90" s="236" t="e">
        <f t="shared" si="17"/>
        <v>#VALUE!</v>
      </c>
      <c r="I90" s="59"/>
      <c r="J90" s="236">
        <v>0.51</v>
      </c>
      <c r="K90" s="238" t="e">
        <f>INDEX(方位係数!$B$2:$J$10,MATCH($D90,方位係数!$A$2:$A$10,0),MATCH($D$4,方位係数!$B$1:$J$1))</f>
        <v>#N/A</v>
      </c>
      <c r="L90" s="238" t="e">
        <f t="shared" si="18"/>
        <v>#N/A</v>
      </c>
      <c r="M90" s="236">
        <v>0.93</v>
      </c>
      <c r="N90" s="238" t="e">
        <f>INDEX(方位係数!$B$13:$J$21,MATCH($D90,方位係数!$A$13:$A$21,0),MATCH($D$4,方位係数!$B$12:$J$12))</f>
        <v>#N/A</v>
      </c>
      <c r="O90" s="238" t="e">
        <f t="shared" si="19"/>
        <v>#N/A</v>
      </c>
    </row>
    <row r="91" spans="1:17" ht="31.5" customHeight="1" x14ac:dyDescent="0.15">
      <c r="C91" s="239" t="s">
        <v>87</v>
      </c>
      <c r="D91" s="177" t="s">
        <v>27</v>
      </c>
      <c r="E91" s="236" t="e">
        <f>IF(INT(LEFT($D$4,1))&lt;4,0,0.54)</f>
        <v>#VALUE!</v>
      </c>
      <c r="F91" s="64"/>
      <c r="G91" s="237">
        <v>1</v>
      </c>
      <c r="H91" s="236" t="e">
        <f t="shared" si="17"/>
        <v>#VALUE!</v>
      </c>
      <c r="I91" s="59"/>
      <c r="J91" s="236">
        <v>0.51</v>
      </c>
      <c r="K91" s="238" t="e">
        <f>INDEX(方位係数!$B$2:$J$10,MATCH($D91,方位係数!$A$2:$A$10,0),MATCH($D$4,方位係数!$B$1:$J$1))</f>
        <v>#N/A</v>
      </c>
      <c r="L91" s="238" t="e">
        <f t="shared" si="18"/>
        <v>#N/A</v>
      </c>
      <c r="M91" s="236">
        <v>0.93</v>
      </c>
      <c r="N91" s="238" t="e">
        <f>INDEX(方位係数!$B$13:$J$21,MATCH($D91,方位係数!$A$13:$A$21,0),MATCH($D$4,方位係数!$B$12:$J$12))</f>
        <v>#N/A</v>
      </c>
      <c r="O91" s="238" t="e">
        <f t="shared" si="19"/>
        <v>#N/A</v>
      </c>
    </row>
    <row r="92" spans="1:17" ht="18.75" customHeight="1" x14ac:dyDescent="0.15">
      <c r="C92" s="235" t="s">
        <v>47</v>
      </c>
      <c r="D92" s="177" t="s">
        <v>27</v>
      </c>
      <c r="E92" s="236" t="e">
        <f>IF(INT(LEFT($D$4,1))&lt;4,1.31,1.73)</f>
        <v>#VALUE!</v>
      </c>
      <c r="F92" s="64"/>
      <c r="G92" s="237">
        <v>1</v>
      </c>
      <c r="H92" s="236" t="e">
        <f t="shared" ref="H92" si="20">E92*F92*G92</f>
        <v>#VALUE!</v>
      </c>
      <c r="I92" s="59"/>
      <c r="J92" s="236">
        <v>0.51</v>
      </c>
      <c r="K92" s="238" t="e">
        <f>INDEX(方位係数!$B$2:$J$10,MATCH($D92,方位係数!$A$2:$A$10,0),MATCH($D$4,方位係数!$B$1:$J$1))</f>
        <v>#N/A</v>
      </c>
      <c r="L92" s="238" t="e">
        <f t="shared" si="18"/>
        <v>#N/A</v>
      </c>
      <c r="M92" s="236">
        <v>0.93</v>
      </c>
      <c r="N92" s="238" t="e">
        <f>INDEX(方位係数!$B$13:$J$21,MATCH($D92,方位係数!$A$13:$A$21,0),MATCH($D$4,方位係数!$B$12:$J$12))</f>
        <v>#N/A</v>
      </c>
      <c r="O92" s="238" t="e">
        <f t="shared" si="19"/>
        <v>#N/A</v>
      </c>
      <c r="P92" s="120"/>
    </row>
    <row r="93" spans="1:17" ht="18.75" customHeight="1" x14ac:dyDescent="0.15">
      <c r="C93" s="235" t="s">
        <v>47</v>
      </c>
      <c r="D93" s="177" t="s">
        <v>26</v>
      </c>
      <c r="E93" s="236" t="e">
        <f>IF(INT(LEFT($D$4,1))&lt;4,1.82,0.99)</f>
        <v>#VALUE!</v>
      </c>
      <c r="F93" s="64"/>
      <c r="G93" s="237">
        <v>1</v>
      </c>
      <c r="H93" s="236" t="e">
        <f t="shared" si="17"/>
        <v>#VALUE!</v>
      </c>
      <c r="I93" s="59"/>
      <c r="J93" s="236">
        <v>0.51</v>
      </c>
      <c r="K93" s="238" t="e">
        <f>INDEX(方位係数!$B$2:$J$10,MATCH($D93,方位係数!$A$2:$A$10,0),MATCH($D$4,方位係数!$B$1:$J$1))</f>
        <v>#N/A</v>
      </c>
      <c r="L93" s="238" t="e">
        <f t="shared" si="18"/>
        <v>#N/A</v>
      </c>
      <c r="M93" s="236">
        <v>0.93</v>
      </c>
      <c r="N93" s="238" t="e">
        <f>INDEX(方位係数!$B$13:$J$21,MATCH($D93,方位係数!$A$13:$A$21,0),MATCH($D$4,方位係数!$B$12:$J$12))</f>
        <v>#N/A</v>
      </c>
      <c r="O93" s="238" t="e">
        <f t="shared" si="19"/>
        <v>#N/A</v>
      </c>
      <c r="P93" s="120"/>
    </row>
    <row r="94" spans="1:17" ht="18.75" customHeight="1" x14ac:dyDescent="0.15">
      <c r="C94" s="235" t="s">
        <v>48</v>
      </c>
      <c r="D94" s="177" t="s">
        <v>26</v>
      </c>
      <c r="E94" s="236" t="e">
        <f>IF(INT(LEFT($D$4,1))&lt;4,2.97,3.22)</f>
        <v>#VALUE!</v>
      </c>
      <c r="F94" s="64"/>
      <c r="G94" s="237">
        <v>1</v>
      </c>
      <c r="H94" s="236" t="e">
        <f t="shared" si="17"/>
        <v>#VALUE!</v>
      </c>
      <c r="I94" s="59"/>
      <c r="J94" s="236">
        <v>0.51</v>
      </c>
      <c r="K94" s="238" t="e">
        <f>INDEX(方位係数!$B$2:$J$10,MATCH($D94,方位係数!$A$2:$A$10,0),MATCH($D$4,方位係数!$B$1:$J$1))</f>
        <v>#N/A</v>
      </c>
      <c r="L94" s="238" t="e">
        <f t="shared" si="18"/>
        <v>#N/A</v>
      </c>
      <c r="M94" s="236">
        <v>0.93</v>
      </c>
      <c r="N94" s="238" t="e">
        <f>INDEX(方位係数!$B$13:$J$21,MATCH($D94,方位係数!$A$13:$A$21,0),MATCH($D$4,方位係数!$B$12:$J$12))</f>
        <v>#N/A</v>
      </c>
      <c r="O94" s="238" t="e">
        <f t="shared" si="19"/>
        <v>#N/A</v>
      </c>
      <c r="P94" s="120"/>
    </row>
    <row r="95" spans="1:17" ht="18.75" customHeight="1" x14ac:dyDescent="0.15">
      <c r="C95" s="235" t="s">
        <v>49</v>
      </c>
      <c r="D95" s="177" t="s">
        <v>26</v>
      </c>
      <c r="E95" s="236" t="e">
        <f>IF(INT(LEFT($D$4,1))&lt;4,2.97,3.22)</f>
        <v>#VALUE!</v>
      </c>
      <c r="F95" s="64"/>
      <c r="G95" s="237">
        <v>1</v>
      </c>
      <c r="H95" s="236" t="e">
        <f t="shared" si="17"/>
        <v>#VALUE!</v>
      </c>
      <c r="I95" s="59"/>
      <c r="J95" s="236">
        <v>0.51</v>
      </c>
      <c r="K95" s="238" t="e">
        <f>INDEX(方位係数!$B$2:$J$10,MATCH($D95,方位係数!$A$2:$A$10,0),MATCH($D$4,方位係数!$B$1:$J$1))</f>
        <v>#N/A</v>
      </c>
      <c r="L95" s="238" t="e">
        <f t="shared" si="18"/>
        <v>#N/A</v>
      </c>
      <c r="M95" s="236">
        <v>0.93</v>
      </c>
      <c r="N95" s="238" t="e">
        <f>INDEX(方位係数!$B$13:$J$21,MATCH($D95,方位係数!$A$13:$A$21,0),MATCH($D$4,方位係数!$B$12:$J$12))</f>
        <v>#N/A</v>
      </c>
      <c r="O95" s="238" t="e">
        <f t="shared" si="19"/>
        <v>#N/A</v>
      </c>
      <c r="P95" s="120"/>
    </row>
    <row r="96" spans="1:17" ht="18.75" customHeight="1" x14ac:dyDescent="0.15">
      <c r="C96" s="235" t="s">
        <v>49</v>
      </c>
      <c r="D96" s="177" t="s">
        <v>29</v>
      </c>
      <c r="E96" s="236" t="e">
        <f>IF(INT(LEFT($D$4,1))&lt;4,0.35,0.66)</f>
        <v>#VALUE!</v>
      </c>
      <c r="F96" s="64"/>
      <c r="G96" s="237">
        <v>1</v>
      </c>
      <c r="H96" s="236" t="e">
        <f t="shared" si="17"/>
        <v>#VALUE!</v>
      </c>
      <c r="I96" s="59"/>
      <c r="J96" s="236">
        <v>0.51</v>
      </c>
      <c r="K96" s="238" t="e">
        <f>INDEX(方位係数!$B$2:$J$10,MATCH($D96,方位係数!$A$2:$A$10,0),MATCH($D$4,方位係数!$B$1:$J$1))</f>
        <v>#N/A</v>
      </c>
      <c r="L96" s="238" t="e">
        <f t="shared" si="18"/>
        <v>#N/A</v>
      </c>
      <c r="M96" s="236">
        <v>0.93</v>
      </c>
      <c r="N96" s="238" t="e">
        <f>INDEX(方位係数!$B$13:$J$21,MATCH($D96,方位係数!$A$13:$A$21,0),MATCH($D$4,方位係数!$B$12:$J$12))</f>
        <v>#N/A</v>
      </c>
      <c r="O96" s="238" t="e">
        <f t="shared" si="19"/>
        <v>#N/A</v>
      </c>
      <c r="P96" s="120"/>
    </row>
    <row r="97" spans="1:17" ht="18.75" customHeight="1" x14ac:dyDescent="0.15">
      <c r="C97" s="235" t="s">
        <v>50</v>
      </c>
      <c r="D97" s="177" t="s">
        <v>28</v>
      </c>
      <c r="E97" s="236" t="e">
        <f>IF(INT(LEFT($D$4,1))&lt;4,0.84,0.99)</f>
        <v>#VALUE!</v>
      </c>
      <c r="F97" s="64"/>
      <c r="G97" s="237">
        <v>1</v>
      </c>
      <c r="H97" s="236" t="e">
        <f t="shared" si="17"/>
        <v>#VALUE!</v>
      </c>
      <c r="I97" s="59"/>
      <c r="J97" s="236">
        <v>0.51</v>
      </c>
      <c r="K97" s="238" t="e">
        <f>INDEX(方位係数!$B$2:$J$10,MATCH($D97,方位係数!$A$2:$A$10,0),MATCH($D$4,方位係数!$B$1:$J$1))</f>
        <v>#N/A</v>
      </c>
      <c r="L97" s="238" t="e">
        <f t="shared" si="18"/>
        <v>#N/A</v>
      </c>
      <c r="M97" s="236">
        <v>0.93</v>
      </c>
      <c r="N97" s="238" t="e">
        <f>INDEX(方位係数!$B$13:$J$21,MATCH($D97,方位係数!$A$13:$A$21,0),MATCH($D$4,方位係数!$B$12:$J$12))</f>
        <v>#N/A</v>
      </c>
      <c r="O97" s="238" t="e">
        <f t="shared" si="19"/>
        <v>#N/A</v>
      </c>
    </row>
    <row r="98" spans="1:17" ht="18.75" customHeight="1" thickBot="1" x14ac:dyDescent="0.2">
      <c r="C98" s="230" t="s">
        <v>44</v>
      </c>
      <c r="D98" s="181" t="s">
        <v>28</v>
      </c>
      <c r="E98" s="240" t="e">
        <f>IF(INT(LEFT($D$4,1))&lt;4,0.35,0.54)</f>
        <v>#VALUE!</v>
      </c>
      <c r="F98" s="65"/>
      <c r="G98" s="241">
        <v>1</v>
      </c>
      <c r="H98" s="240" t="e">
        <f>E98*F98*G98</f>
        <v>#VALUE!</v>
      </c>
      <c r="I98" s="60"/>
      <c r="J98" s="240">
        <v>0.51</v>
      </c>
      <c r="K98" s="242" t="e">
        <f>INDEX(方位係数!$B$2:$J$10,MATCH($D98,方位係数!$A$2:$A$10,0),MATCH($D$4,方位係数!$B$1:$J$1))</f>
        <v>#N/A</v>
      </c>
      <c r="L98" s="242" t="e">
        <f t="shared" si="18"/>
        <v>#N/A</v>
      </c>
      <c r="M98" s="240">
        <v>0.93</v>
      </c>
      <c r="N98" s="242" t="e">
        <f>INDEX(方位係数!$B$13:$J$21,MATCH($D98,方位係数!$A$13:$A$21,0),MATCH($D$4,方位係数!$B$12:$J$12))</f>
        <v>#N/A</v>
      </c>
      <c r="O98" s="242" t="e">
        <f t="shared" si="19"/>
        <v>#N/A</v>
      </c>
    </row>
    <row r="99" spans="1:17" ht="18.75" customHeight="1" thickTop="1" x14ac:dyDescent="0.15">
      <c r="C99" s="400" t="s">
        <v>51</v>
      </c>
      <c r="D99" s="400"/>
      <c r="E99" s="243" t="e">
        <f>SUM(E82:E98)</f>
        <v>#VALUE!</v>
      </c>
      <c r="F99" s="167"/>
      <c r="G99" s="187" t="s">
        <v>199</v>
      </c>
      <c r="H99" s="243" t="e">
        <f>SUM(H82:H98)</f>
        <v>#VALUE!</v>
      </c>
      <c r="I99" s="167"/>
      <c r="J99" s="167"/>
      <c r="K99" s="187" t="s">
        <v>201</v>
      </c>
      <c r="L99" s="244" t="e">
        <f>SUM(L82:L98)</f>
        <v>#N/A</v>
      </c>
      <c r="M99" s="188"/>
      <c r="N99" s="187" t="s">
        <v>200</v>
      </c>
      <c r="O99" s="244" t="e">
        <f>SUM(O82:O98)</f>
        <v>#N/A</v>
      </c>
    </row>
    <row r="100" spans="1:17" x14ac:dyDescent="0.15">
      <c r="C100" s="127" t="s">
        <v>383</v>
      </c>
    </row>
    <row r="101" spans="1:17" x14ac:dyDescent="0.15">
      <c r="C101" s="127" t="s">
        <v>384</v>
      </c>
    </row>
    <row r="103" spans="1:17" x14ac:dyDescent="0.15">
      <c r="B103" s="119" t="s">
        <v>55</v>
      </c>
    </row>
    <row r="104" spans="1:17" ht="17.25" customHeight="1" x14ac:dyDescent="0.15">
      <c r="C104" s="379" t="s">
        <v>21</v>
      </c>
      <c r="D104" s="379"/>
      <c r="E104" s="379"/>
      <c r="F104" s="374" t="s">
        <v>56</v>
      </c>
      <c r="G104" s="375"/>
      <c r="H104" s="374" t="s">
        <v>57</v>
      </c>
      <c r="I104" s="375"/>
      <c r="J104" s="374" t="s">
        <v>58</v>
      </c>
      <c r="K104" s="375"/>
      <c r="L104" s="374" t="s">
        <v>59</v>
      </c>
      <c r="M104" s="375"/>
    </row>
    <row r="105" spans="1:17" x14ac:dyDescent="0.15">
      <c r="C105" s="376" t="s">
        <v>60</v>
      </c>
      <c r="D105" s="377"/>
      <c r="E105" s="378"/>
      <c r="F105" s="245" t="s">
        <v>204</v>
      </c>
      <c r="G105" s="208" t="e">
        <f>$F$21</f>
        <v>#VALUE!</v>
      </c>
      <c r="H105" s="245" t="s">
        <v>61</v>
      </c>
      <c r="I105" s="186" t="e">
        <f>$I$21</f>
        <v>#VALUE!</v>
      </c>
      <c r="J105" s="245" t="s">
        <v>374</v>
      </c>
      <c r="K105" s="246" t="e">
        <f>$N$21</f>
        <v>#N/A</v>
      </c>
      <c r="L105" s="245" t="s">
        <v>205</v>
      </c>
      <c r="M105" s="189" t="e">
        <f>$L$21</f>
        <v>#N/A</v>
      </c>
    </row>
    <row r="106" spans="1:17" s="1" customFormat="1" ht="19.5" thickBot="1" x14ac:dyDescent="0.2">
      <c r="A106" s="119"/>
      <c r="B106" s="119"/>
      <c r="C106" s="376" t="str">
        <f>IF($N$4="床断熱","床・基礎壁・土間外周","基礎壁・土間外周")</f>
        <v>基礎壁・土間外周</v>
      </c>
      <c r="D106" s="377"/>
      <c r="E106" s="378"/>
      <c r="F106" s="192" t="str">
        <f>IF($N$4="床断熱","A2","A3")</f>
        <v>A3</v>
      </c>
      <c r="G106" s="194">
        <f>IF($N$4="床断熱",$F$34,$F$49)</f>
        <v>0</v>
      </c>
      <c r="H106" s="192" t="s">
        <v>420</v>
      </c>
      <c r="I106" s="186">
        <f>IF($N$4="床断熱",$I$34+$I40,$I$49+$I$52)</f>
        <v>0</v>
      </c>
      <c r="J106" s="245" t="s">
        <v>421</v>
      </c>
      <c r="K106" s="246" t="e">
        <f>IF($N$4="床断熱",$N$34,$N$49)</f>
        <v>#N/A</v>
      </c>
      <c r="L106" s="245" t="s">
        <v>422</v>
      </c>
      <c r="M106" s="246" t="e">
        <f>IF($N$4="床断熱",$L$34,$L$49)</f>
        <v>#N/A</v>
      </c>
      <c r="N106" s="247"/>
      <c r="O106" s="247"/>
      <c r="P106" s="122"/>
      <c r="Q106" s="247"/>
    </row>
    <row r="107" spans="1:17" s="1" customFormat="1" ht="19.5" thickTop="1" x14ac:dyDescent="0.15">
      <c r="A107" s="119"/>
      <c r="B107" s="119"/>
      <c r="C107" s="376" t="str">
        <f>IF($I$4="天井断熱","天井","屋根・妻壁")</f>
        <v>屋根・妻壁</v>
      </c>
      <c r="D107" s="377"/>
      <c r="E107" s="378"/>
      <c r="F107" s="192" t="str">
        <f>IF($I$4="天井断熱","A4","A5")</f>
        <v>A5</v>
      </c>
      <c r="G107" s="194">
        <f>IF($I$4="天井断熱",$F$58,$F$72)</f>
        <v>0</v>
      </c>
      <c r="H107" s="192" t="str">
        <f>IF($I$4="天井断熱","q4","q5")</f>
        <v>q5</v>
      </c>
      <c r="I107" s="186">
        <f>IF($I$4="天井断熱",$I$58,$I$72)</f>
        <v>0</v>
      </c>
      <c r="J107" s="192" t="str">
        <f>IF($I$4="天井断熱","mc4","mc5")</f>
        <v>mc5</v>
      </c>
      <c r="K107" s="189" t="e">
        <f>IF($I$4="天井断熱",$N$58,$N$72)</f>
        <v>#N/A</v>
      </c>
      <c r="L107" s="192" t="str">
        <f>IF($I$4="天井断熱","mH4","mH5")</f>
        <v>mH5</v>
      </c>
      <c r="M107" s="189" t="e">
        <f>IF($I$4="天井断熱",$L$58,$L$72)</f>
        <v>#N/A</v>
      </c>
      <c r="N107" s="247"/>
      <c r="O107" s="247"/>
      <c r="P107" s="122"/>
      <c r="Q107" s="311" t="s">
        <v>522</v>
      </c>
    </row>
    <row r="108" spans="1:17" s="1" customFormat="1" x14ac:dyDescent="0.15">
      <c r="A108" s="119"/>
      <c r="B108" s="119"/>
      <c r="C108" s="376" t="s">
        <v>62</v>
      </c>
      <c r="D108" s="377"/>
      <c r="E108" s="378"/>
      <c r="F108" s="245" t="s">
        <v>63</v>
      </c>
      <c r="G108" s="186" t="e">
        <f>$E$99</f>
        <v>#VALUE!</v>
      </c>
      <c r="H108" s="245" t="s">
        <v>64</v>
      </c>
      <c r="I108" s="186" t="e">
        <f>$H$99</f>
        <v>#VALUE!</v>
      </c>
      <c r="J108" s="245" t="s">
        <v>206</v>
      </c>
      <c r="K108" s="189" t="e">
        <f>$O$99</f>
        <v>#N/A</v>
      </c>
      <c r="L108" s="245" t="s">
        <v>207</v>
      </c>
      <c r="M108" s="189" t="e">
        <f>$L$99</f>
        <v>#N/A</v>
      </c>
      <c r="N108" s="247"/>
      <c r="O108" s="247"/>
      <c r="P108" s="122"/>
      <c r="Q108" s="312"/>
    </row>
    <row r="109" spans="1:17" s="1" customFormat="1" ht="19.5" thickBot="1" x14ac:dyDescent="0.2">
      <c r="A109" s="119"/>
      <c r="B109" s="119"/>
      <c r="C109" s="397" t="s">
        <v>65</v>
      </c>
      <c r="D109" s="398"/>
      <c r="E109" s="399"/>
      <c r="F109" s="248" t="s">
        <v>208</v>
      </c>
      <c r="G109" s="218" t="e">
        <f>$E$78</f>
        <v>#VALUE!</v>
      </c>
      <c r="H109" s="248" t="s">
        <v>209</v>
      </c>
      <c r="I109" s="218" t="e">
        <f>$H$78</f>
        <v>#VALUE!</v>
      </c>
      <c r="J109" s="248" t="s">
        <v>210</v>
      </c>
      <c r="K109" s="249" t="e">
        <f>$M$78</f>
        <v>#N/A</v>
      </c>
      <c r="L109" s="248" t="s">
        <v>211</v>
      </c>
      <c r="M109" s="249" t="e">
        <f>$K$78</f>
        <v>#N/A</v>
      </c>
      <c r="N109" s="247"/>
      <c r="O109" s="247"/>
      <c r="P109" s="122"/>
      <c r="Q109" s="312"/>
    </row>
    <row r="110" spans="1:17" s="1" customFormat="1" ht="18" thickTop="1" thickBot="1" x14ac:dyDescent="0.2">
      <c r="A110" s="119"/>
      <c r="B110" s="119"/>
      <c r="C110" s="167"/>
      <c r="D110" s="167"/>
      <c r="E110" s="247"/>
      <c r="F110" s="247"/>
      <c r="G110" s="247"/>
      <c r="H110" s="250" t="s">
        <v>212</v>
      </c>
      <c r="I110" s="208" t="e">
        <f>SUM(I105:I109)</f>
        <v>#VALUE!</v>
      </c>
      <c r="J110" s="251" t="s">
        <v>216</v>
      </c>
      <c r="K110" s="252" t="e">
        <f>SUM(K105:K109)</f>
        <v>#N/A</v>
      </c>
      <c r="L110" s="251" t="s">
        <v>217</v>
      </c>
      <c r="M110" s="252" t="e">
        <f>SUM(M105:M109)</f>
        <v>#N/A</v>
      </c>
      <c r="N110" s="247"/>
      <c r="O110" s="247"/>
      <c r="P110" s="247"/>
      <c r="Q110" s="312"/>
    </row>
    <row r="111" spans="1:17" s="1" customFormat="1" ht="27" customHeight="1" thickTop="1" x14ac:dyDescent="0.15">
      <c r="A111" s="119"/>
      <c r="B111" s="119"/>
      <c r="C111" s="386" t="s">
        <v>375</v>
      </c>
      <c r="D111" s="387"/>
      <c r="E111" s="394" t="s">
        <v>327</v>
      </c>
      <c r="F111" s="395"/>
      <c r="G111" s="382" t="e">
        <f>SUM(G105:G109)</f>
        <v>#VALUE!</v>
      </c>
      <c r="H111" s="380" t="s">
        <v>324</v>
      </c>
      <c r="I111" s="382" t="e">
        <f>ROUNDUP(I110/$G$111,2)</f>
        <v>#VALUE!</v>
      </c>
      <c r="J111" s="392" t="s">
        <v>326</v>
      </c>
      <c r="K111" s="390" t="e">
        <f>ROUNDUP(K110/$G$111*100,1)</f>
        <v>#N/A</v>
      </c>
      <c r="L111" s="380" t="s">
        <v>325</v>
      </c>
      <c r="M111" s="390" t="e">
        <f>ROUNDDOWN(M110/$G$111*100,1)</f>
        <v>#N/A</v>
      </c>
      <c r="N111" s="384"/>
      <c r="O111" s="385"/>
      <c r="P111" s="373" t="s">
        <v>178</v>
      </c>
      <c r="Q111" s="312"/>
    </row>
    <row r="112" spans="1:17" s="1" customFormat="1" ht="27" customHeight="1" thickBot="1" x14ac:dyDescent="0.2">
      <c r="A112" s="119"/>
      <c r="B112" s="119"/>
      <c r="C112" s="388"/>
      <c r="D112" s="389"/>
      <c r="E112" s="393"/>
      <c r="F112" s="396"/>
      <c r="G112" s="383"/>
      <c r="H112" s="381"/>
      <c r="I112" s="383"/>
      <c r="J112" s="393"/>
      <c r="K112" s="391"/>
      <c r="L112" s="381"/>
      <c r="M112" s="391"/>
      <c r="N112" s="384"/>
      <c r="O112" s="385"/>
      <c r="P112" s="373"/>
      <c r="Q112" s="313"/>
    </row>
    <row r="113" ht="6" customHeight="1" x14ac:dyDescent="0.15"/>
    <row r="142" spans="3:4" hidden="1" x14ac:dyDescent="0.15">
      <c r="C142" s="119" t="str">
        <f>IF(COUNTIF($D$4,"*地域"),"good","Error")</f>
        <v>Error</v>
      </c>
      <c r="D142" s="119" t="s">
        <v>335</v>
      </c>
    </row>
    <row r="143" spans="3:4" hidden="1" x14ac:dyDescent="0.15">
      <c r="C143" s="119" t="str">
        <f>IF(COUNTIF($I$4,"*断熱"),"good","Error")</f>
        <v>Error</v>
      </c>
      <c r="D143" s="119" t="s">
        <v>336</v>
      </c>
    </row>
    <row r="144" spans="3:4" hidden="1" x14ac:dyDescent="0.15">
      <c r="C144" s="119" t="str">
        <f>IF(COUNTIF($N$4,"*断熱"),"good","Error")</f>
        <v>Error</v>
      </c>
      <c r="D144" s="119" t="s">
        <v>337</v>
      </c>
    </row>
    <row r="145" spans="3:16" hidden="1" x14ac:dyDescent="0.15">
      <c r="C145" s="119" t="str">
        <f>IF(COUNTBLANK($G$9:$G$20)&gt;0,"Error","")</f>
        <v>Error</v>
      </c>
      <c r="D145" s="119" t="s">
        <v>305</v>
      </c>
    </row>
    <row r="146" spans="3:16" hidden="1" x14ac:dyDescent="0.15">
      <c r="C146" s="119" t="str">
        <f>IF(AND($N$4="床断熱",G26=""),"Error","")</f>
        <v/>
      </c>
      <c r="D146" s="119" t="s">
        <v>392</v>
      </c>
    </row>
    <row r="147" spans="3:16" hidden="1" x14ac:dyDescent="0.15">
      <c r="C147" s="119" t="str">
        <f>IF(AND($N$4="床断熱",COUNTBLANK(G$28:G$33)&gt;0),"Error","")</f>
        <v/>
      </c>
      <c r="D147" s="119" t="s">
        <v>393</v>
      </c>
    </row>
    <row r="148" spans="3:16" hidden="1" x14ac:dyDescent="0.15">
      <c r="C148" s="119" t="str">
        <f>IF(AND($N$4="基礎断熱",G51=""),"Error","")</f>
        <v/>
      </c>
      <c r="D148" s="119" t="s">
        <v>394</v>
      </c>
    </row>
    <row r="149" spans="3:16" hidden="1" x14ac:dyDescent="0.15">
      <c r="C149" s="119" t="str">
        <f>IF(AND($I$4="天井断熱",COUNTBLANK(G$56:G$57)&gt;0),"Error","")</f>
        <v/>
      </c>
      <c r="D149" s="119" t="s">
        <v>395</v>
      </c>
    </row>
    <row r="150" spans="3:16" hidden="1" x14ac:dyDescent="0.15">
      <c r="C150" s="119" t="str">
        <f>IF(AND($I$4="屋根断熱",COUNTBLANK(G$62:G$64)&gt;0),"Error","")</f>
        <v/>
      </c>
      <c r="D150" s="119" t="s">
        <v>306</v>
      </c>
    </row>
    <row r="151" spans="3:16" hidden="1" x14ac:dyDescent="0.15">
      <c r="C151" s="119" t="str">
        <f>IF(AND($I$4="屋根断熱",COUNTBLANK(G$66:G$71)&gt;0),"Error","")</f>
        <v/>
      </c>
      <c r="D151" s="119" t="s">
        <v>307</v>
      </c>
    </row>
    <row r="152" spans="3:16" hidden="1" x14ac:dyDescent="0.15">
      <c r="C152" s="119" t="str">
        <f>IF(AND(OR($D$4="1地域",$D$4="2地域",$D$4="3地域"),OR(COUNTBLANK(F$82:F$90)&gt;0,COUNTBLANK(F$92:F$98)&gt;0)),"Error","")</f>
        <v/>
      </c>
      <c r="D152" s="119" t="s">
        <v>396</v>
      </c>
    </row>
    <row r="153" spans="3:16" hidden="1" x14ac:dyDescent="0.15">
      <c r="C153" s="119" t="str">
        <f>IF(AND(OR($D$4="4地域",$D$4="5地域",$D$4="6地域",$D$4="7地域",$D$4="8地域"),COUNTBLANK(F$82:F$98)&gt;0),"Error","")</f>
        <v/>
      </c>
      <c r="D153" s="119" t="s">
        <v>396</v>
      </c>
    </row>
    <row r="154" spans="3:16" hidden="1" x14ac:dyDescent="0.15">
      <c r="C154" s="119" t="str">
        <f>IF(AND(OR($D$4="1地域",$D$4="2地域",$D$4="3地域"),OR(COUNTBLANK(I$82:I$90)&gt;0,COUNTBLANK(I$92:I$98)&gt;0)),"Error","")</f>
        <v/>
      </c>
      <c r="D154" s="119" t="s">
        <v>397</v>
      </c>
    </row>
    <row r="155" spans="3:16" hidden="1" x14ac:dyDescent="0.15">
      <c r="C155" s="119" t="str">
        <f>IF(AND(OR($D$4="4地域",$D$4="5地域",$D$4="6地域",$D$4="7地域",$D$4="8地域"),COUNTBLANK(I$82:I$98)&gt;0),"Error","")</f>
        <v/>
      </c>
      <c r="D155" s="119" t="s">
        <v>397</v>
      </c>
    </row>
    <row r="156" spans="3:16" ht="24.75" hidden="1" x14ac:dyDescent="0.15">
      <c r="C156" s="119" t="str">
        <f>IF(COUNTBLANK(F76:F77)&gt;0,"Error","")</f>
        <v>Error</v>
      </c>
      <c r="D156" s="119" t="s">
        <v>398</v>
      </c>
      <c r="P156" s="118"/>
    </row>
    <row r="157" spans="3:16" x14ac:dyDescent="0.15">
      <c r="C157" s="253"/>
      <c r="D157" s="253"/>
    </row>
    <row r="158" spans="3:16" x14ac:dyDescent="0.15">
      <c r="C158" s="253"/>
      <c r="D158" s="253"/>
    </row>
  </sheetData>
  <sheetProtection algorithmName="SHA-512" hashValue="X1FgOLQcNuyogaSXseJfWUicxON+CGrdfC4tbIk1QgkFTjJVsDgOMKkMUzANC/gPYyHvgFmpaDNGS0RZLb0B0A==" saltValue="FyDmvqTrW1MOAwgI6MQPcQ==" spinCount="100000" sheet="1" objects="1" scenarios="1"/>
  <mergeCells count="104">
    <mergeCell ref="Q62:Q71"/>
    <mergeCell ref="P76:P79"/>
    <mergeCell ref="Q76:Q78"/>
    <mergeCell ref="P59:P60"/>
    <mergeCell ref="C57:E57"/>
    <mergeCell ref="D58:E58"/>
    <mergeCell ref="D72:E72"/>
    <mergeCell ref="C61:D61"/>
    <mergeCell ref="P82:P85"/>
    <mergeCell ref="C67:D67"/>
    <mergeCell ref="Q82:Q88"/>
    <mergeCell ref="C68:D68"/>
    <mergeCell ref="C69:D69"/>
    <mergeCell ref="C62:D62"/>
    <mergeCell ref="C99:D99"/>
    <mergeCell ref="C78:D78"/>
    <mergeCell ref="C56:E56"/>
    <mergeCell ref="C55:E55"/>
    <mergeCell ref="C44:E44"/>
    <mergeCell ref="C51:E51"/>
    <mergeCell ref="C26:D26"/>
    <mergeCell ref="C28:D28"/>
    <mergeCell ref="C29:D29"/>
    <mergeCell ref="C71:D71"/>
    <mergeCell ref="C66:D66"/>
    <mergeCell ref="C70:D70"/>
    <mergeCell ref="C63:D63"/>
    <mergeCell ref="C64:D64"/>
    <mergeCell ref="C35:E35"/>
    <mergeCell ref="C36:E36"/>
    <mergeCell ref="C37:E37"/>
    <mergeCell ref="C38:E38"/>
    <mergeCell ref="C39:E39"/>
    <mergeCell ref="C45:D45"/>
    <mergeCell ref="C46:D46"/>
    <mergeCell ref="C48:D48"/>
    <mergeCell ref="C30:D30"/>
    <mergeCell ref="C31:D31"/>
    <mergeCell ref="Q107:Q112"/>
    <mergeCell ref="P111:P112"/>
    <mergeCell ref="F104:G104"/>
    <mergeCell ref="H104:I104"/>
    <mergeCell ref="J104:K104"/>
    <mergeCell ref="L104:M104"/>
    <mergeCell ref="C106:E106"/>
    <mergeCell ref="C107:E107"/>
    <mergeCell ref="C105:E105"/>
    <mergeCell ref="C104:E104"/>
    <mergeCell ref="H111:H112"/>
    <mergeCell ref="I111:I112"/>
    <mergeCell ref="L111:L112"/>
    <mergeCell ref="N111:O112"/>
    <mergeCell ref="C111:D112"/>
    <mergeCell ref="M111:M112"/>
    <mergeCell ref="J111:J112"/>
    <mergeCell ref="K111:K112"/>
    <mergeCell ref="E111:F112"/>
    <mergeCell ref="G111:G112"/>
    <mergeCell ref="C108:E108"/>
    <mergeCell ref="C109:E109"/>
    <mergeCell ref="C32:D32"/>
    <mergeCell ref="C33:D33"/>
    <mergeCell ref="C47:D47"/>
    <mergeCell ref="D34:E34"/>
    <mergeCell ref="A1:J1"/>
    <mergeCell ref="N1:O1"/>
    <mergeCell ref="B3:C3"/>
    <mergeCell ref="B4:C4"/>
    <mergeCell ref="D3:O3"/>
    <mergeCell ref="I4:J4"/>
    <mergeCell ref="C15:D15"/>
    <mergeCell ref="C16:D16"/>
    <mergeCell ref="C17:D17"/>
    <mergeCell ref="B5:O5"/>
    <mergeCell ref="C8:D8"/>
    <mergeCell ref="C9:D9"/>
    <mergeCell ref="C10:D10"/>
    <mergeCell ref="C11:D11"/>
    <mergeCell ref="C12:D12"/>
    <mergeCell ref="D4:E4"/>
    <mergeCell ref="Q50:Q53"/>
    <mergeCell ref="C18:D18"/>
    <mergeCell ref="C19:D19"/>
    <mergeCell ref="C20:D20"/>
    <mergeCell ref="Q3:Q5"/>
    <mergeCell ref="P26:P33"/>
    <mergeCell ref="Q26:Q33"/>
    <mergeCell ref="P51:P52"/>
    <mergeCell ref="P56:P57"/>
    <mergeCell ref="Q56:Q57"/>
    <mergeCell ref="Q45:Q48"/>
    <mergeCell ref="D21:E21"/>
    <mergeCell ref="K4:M4"/>
    <mergeCell ref="N4:O4"/>
    <mergeCell ref="Q9:Q20"/>
    <mergeCell ref="P9:P20"/>
    <mergeCell ref="P22:P25"/>
    <mergeCell ref="C13:D13"/>
    <mergeCell ref="C14:D14"/>
    <mergeCell ref="F4:H4"/>
    <mergeCell ref="Q36:Q40"/>
    <mergeCell ref="C25:D25"/>
    <mergeCell ref="C50:E50"/>
    <mergeCell ref="D49:E49"/>
  </mergeCells>
  <phoneticPr fontId="2"/>
  <conditionalFormatting sqref="G26 G28:G33">
    <cfRule type="expression" dxfId="31" priority="8">
      <formula>($N$4="基礎断熱")</formula>
    </cfRule>
  </conditionalFormatting>
  <conditionalFormatting sqref="G26">
    <cfRule type="expression" dxfId="30" priority="14">
      <formula>(N4="基礎断熱")</formula>
    </cfRule>
  </conditionalFormatting>
  <conditionalFormatting sqref="G36">
    <cfRule type="expression" dxfId="29" priority="6">
      <formula>(N14="基礎断熱")</formula>
    </cfRule>
  </conditionalFormatting>
  <conditionalFormatting sqref="G36:G39">
    <cfRule type="expression" dxfId="28" priority="5">
      <formula>($N$4="基礎断熱")</formula>
    </cfRule>
  </conditionalFormatting>
  <conditionalFormatting sqref="G45:G48">
    <cfRule type="expression" dxfId="27" priority="1">
      <formula>($N$4="床断熱")</formula>
    </cfRule>
  </conditionalFormatting>
  <conditionalFormatting sqref="G51">
    <cfRule type="expression" dxfId="26" priority="2">
      <formula>($N$4="床断熱")</formula>
    </cfRule>
  </conditionalFormatting>
  <conditionalFormatting sqref="G56:G57">
    <cfRule type="expression" dxfId="25" priority="10">
      <formula>($I$4="屋根断熱")</formula>
    </cfRule>
  </conditionalFormatting>
  <conditionalFormatting sqref="G62:G64 G66:G71">
    <cfRule type="expression" dxfId="24" priority="9">
      <formula>($I$4="天井断熱")</formula>
    </cfRule>
  </conditionalFormatting>
  <dataValidations count="3">
    <dataValidation type="list" allowBlank="1" showInputMessage="1" showErrorMessage="1" sqref="N4:O4" xr:uid="{00000000-0002-0000-0200-000000000000}">
      <formula1>"床断熱,基礎断熱,（選択して下さい）"</formula1>
    </dataValidation>
    <dataValidation type="list" allowBlank="1" showInputMessage="1" showErrorMessage="1" sqref="I4:J4" xr:uid="{00000000-0002-0000-0200-000001000000}">
      <formula1>"屋根断熱,天井断熱,（選択して下さい）"</formula1>
    </dataValidation>
    <dataValidation type="list" allowBlank="1" showInputMessage="1" showErrorMessage="1" sqref="D4:E4" xr:uid="{00000000-0002-0000-0200-000002000000}">
      <formula1>"1地域,2地域,3地域,4地域,5地域,6地域,7地域,8地域,（選択して下さい）"</formula1>
    </dataValidation>
  </dataValidations>
  <pageMargins left="0.35433070866141736" right="0.35433070866141736"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rowBreaks count="1" manualBreakCount="1">
    <brk id="42" max="1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3AED6A-1DAE-4253-9C35-A7A2DB48E899}">
  <dimension ref="A1:T158"/>
  <sheetViews>
    <sheetView showGridLines="0" workbookViewId="0">
      <selection sqref="A1:J1"/>
    </sheetView>
  </sheetViews>
  <sheetFormatPr defaultRowHeight="18.75" x14ac:dyDescent="0.15"/>
  <cols>
    <col min="1" max="1" width="0.625" style="122" customWidth="1"/>
    <col min="2" max="2" width="0.375" style="119" customWidth="1"/>
    <col min="3" max="3" width="12.5" style="119" customWidth="1"/>
    <col min="4" max="4" width="6" style="119" customWidth="1"/>
    <col min="5" max="5" width="6.25" style="119" customWidth="1"/>
    <col min="6" max="6" width="7.125" style="119" customWidth="1"/>
    <col min="7" max="7" width="7.25" style="119" customWidth="1"/>
    <col min="8" max="8" width="6.875" style="119" customWidth="1"/>
    <col min="9" max="9" width="6.75" style="119" customWidth="1"/>
    <col min="10" max="10" width="7.125" style="119" customWidth="1"/>
    <col min="11" max="14" width="7.5" style="119" customWidth="1"/>
    <col min="15" max="15" width="7.5" style="122" customWidth="1"/>
    <col min="16" max="16" width="2.375" style="122" customWidth="1"/>
    <col min="17" max="17" width="54.5" style="121" customWidth="1"/>
  </cols>
  <sheetData>
    <row r="1" spans="1:20" ht="27" customHeight="1" thickTop="1" thickBot="1" x14ac:dyDescent="0.2">
      <c r="A1" s="317" t="s">
        <v>533</v>
      </c>
      <c r="B1" s="317"/>
      <c r="C1" s="317"/>
      <c r="D1" s="317"/>
      <c r="E1" s="317"/>
      <c r="F1" s="317"/>
      <c r="G1" s="317"/>
      <c r="H1" s="317"/>
      <c r="I1" s="317"/>
      <c r="J1" s="317"/>
      <c r="K1" s="166"/>
      <c r="L1" s="166"/>
      <c r="M1" s="116"/>
      <c r="N1" s="324" t="s">
        <v>439</v>
      </c>
      <c r="O1" s="324"/>
      <c r="P1" s="113"/>
      <c r="Q1" s="117" t="s">
        <v>177</v>
      </c>
      <c r="R1" s="67"/>
      <c r="S1" s="67"/>
      <c r="T1" s="67"/>
    </row>
    <row r="2" spans="1:20" s="3" customFormat="1" ht="3.75" customHeight="1" thickTop="1" thickBot="1" x14ac:dyDescent="0.2">
      <c r="A2" s="118"/>
      <c r="B2" s="122"/>
      <c r="C2" s="167"/>
      <c r="D2" s="167"/>
      <c r="E2" s="167"/>
      <c r="F2" s="167"/>
      <c r="G2" s="167"/>
      <c r="H2" s="167"/>
      <c r="I2" s="167"/>
      <c r="J2" s="167"/>
      <c r="K2" s="167"/>
      <c r="L2" s="167"/>
      <c r="M2" s="167"/>
      <c r="N2" s="167"/>
      <c r="O2" s="167"/>
      <c r="P2" s="118"/>
      <c r="Q2" s="168"/>
    </row>
    <row r="3" spans="1:20" s="2" customFormat="1" ht="18.75" customHeight="1" thickTop="1" x14ac:dyDescent="0.15">
      <c r="A3" s="122"/>
      <c r="B3" s="366" t="s">
        <v>0</v>
      </c>
      <c r="C3" s="367"/>
      <c r="D3" s="336"/>
      <c r="E3" s="336"/>
      <c r="F3" s="336"/>
      <c r="G3" s="336"/>
      <c r="H3" s="336"/>
      <c r="I3" s="336"/>
      <c r="J3" s="336"/>
      <c r="K3" s="336"/>
      <c r="L3" s="336"/>
      <c r="M3" s="336"/>
      <c r="N3" s="336"/>
      <c r="O3" s="336"/>
      <c r="P3" s="118"/>
      <c r="Q3" s="311" t="s">
        <v>525</v>
      </c>
    </row>
    <row r="4" spans="1:20" ht="22.5" customHeight="1" x14ac:dyDescent="0.15">
      <c r="B4" s="368" t="s">
        <v>334</v>
      </c>
      <c r="C4" s="369"/>
      <c r="D4" s="354" t="s">
        <v>430</v>
      </c>
      <c r="E4" s="355"/>
      <c r="F4" s="351" t="s">
        <v>333</v>
      </c>
      <c r="G4" s="352"/>
      <c r="H4" s="353"/>
      <c r="I4" s="354" t="s">
        <v>430</v>
      </c>
      <c r="J4" s="355"/>
      <c r="K4" s="351" t="s">
        <v>332</v>
      </c>
      <c r="L4" s="352"/>
      <c r="M4" s="353"/>
      <c r="N4" s="354" t="s">
        <v>430</v>
      </c>
      <c r="O4" s="355"/>
      <c r="P4" s="120" t="s">
        <v>178</v>
      </c>
      <c r="Q4" s="312"/>
    </row>
    <row r="5" spans="1:20" ht="22.5" customHeight="1" thickBot="1" x14ac:dyDescent="0.2">
      <c r="B5" s="370" t="s">
        <v>514</v>
      </c>
      <c r="C5" s="370"/>
      <c r="D5" s="370"/>
      <c r="E5" s="370"/>
      <c r="F5" s="370"/>
      <c r="G5" s="370"/>
      <c r="H5" s="370"/>
      <c r="I5" s="370"/>
      <c r="J5" s="370"/>
      <c r="K5" s="370"/>
      <c r="L5" s="370"/>
      <c r="M5" s="370"/>
      <c r="N5" s="370"/>
      <c r="O5" s="370"/>
      <c r="P5" s="156"/>
      <c r="Q5" s="313"/>
    </row>
    <row r="6" spans="1:20" ht="3.75" customHeight="1" thickTop="1" x14ac:dyDescent="0.15">
      <c r="B6" s="169"/>
      <c r="C6" s="169"/>
      <c r="D6" s="169"/>
      <c r="E6" s="169"/>
      <c r="F6" s="169"/>
      <c r="G6" s="169"/>
      <c r="H6" s="169"/>
      <c r="I6" s="169"/>
      <c r="J6" s="169"/>
      <c r="K6" s="169"/>
      <c r="L6" s="169"/>
      <c r="M6" s="169"/>
      <c r="N6" s="169"/>
      <c r="O6" s="169"/>
      <c r="P6" s="156"/>
      <c r="Q6" s="170"/>
    </row>
    <row r="7" spans="1:20" s="42" customFormat="1" ht="18.75" customHeight="1" x14ac:dyDescent="0.15">
      <c r="A7" s="119"/>
      <c r="B7" s="119"/>
      <c r="C7" s="122" t="s">
        <v>17</v>
      </c>
      <c r="D7" s="119"/>
      <c r="E7" s="119"/>
      <c r="F7" s="119"/>
      <c r="G7" s="119"/>
      <c r="H7" s="119"/>
      <c r="I7" s="119"/>
      <c r="J7" s="119"/>
      <c r="K7" s="119"/>
      <c r="L7" s="119"/>
      <c r="M7" s="119"/>
      <c r="N7" s="119"/>
      <c r="O7" s="119"/>
      <c r="P7" s="119"/>
      <c r="Q7" s="170"/>
    </row>
    <row r="8" spans="1:20" s="4" customFormat="1" ht="66" customHeight="1" thickBot="1" x14ac:dyDescent="0.2">
      <c r="A8" s="171"/>
      <c r="B8" s="146"/>
      <c r="C8" s="314" t="s">
        <v>21</v>
      </c>
      <c r="D8" s="316"/>
      <c r="E8" s="147" t="s">
        <v>22</v>
      </c>
      <c r="F8" s="125" t="s">
        <v>186</v>
      </c>
      <c r="G8" s="125" t="s">
        <v>415</v>
      </c>
      <c r="H8" s="125" t="s">
        <v>23</v>
      </c>
      <c r="I8" s="147" t="s">
        <v>24</v>
      </c>
      <c r="J8" s="125" t="s">
        <v>287</v>
      </c>
      <c r="K8" s="125" t="s">
        <v>188</v>
      </c>
      <c r="L8" s="125" t="s">
        <v>285</v>
      </c>
      <c r="M8" s="125" t="s">
        <v>187</v>
      </c>
      <c r="N8" s="125" t="s">
        <v>288</v>
      </c>
      <c r="O8" s="172"/>
      <c r="P8" s="118"/>
      <c r="Q8" s="170"/>
    </row>
    <row r="9" spans="1:20" ht="18" customHeight="1" thickTop="1" x14ac:dyDescent="0.15">
      <c r="C9" s="371" t="s">
        <v>25</v>
      </c>
      <c r="D9" s="372"/>
      <c r="E9" s="173" t="s">
        <v>26</v>
      </c>
      <c r="F9" s="174" t="e">
        <f>IF(INT(LEFT($D$4,1))&lt;4,17.86,13.6)</f>
        <v>#VALUE!</v>
      </c>
      <c r="G9" s="58"/>
      <c r="H9" s="175">
        <v>1</v>
      </c>
      <c r="I9" s="174" t="e">
        <f t="shared" ref="I9:I20" si="0">F9*G9*H9</f>
        <v>#VALUE!</v>
      </c>
      <c r="J9" s="176">
        <f t="shared" ref="J9:J20" si="1">G9*0.034</f>
        <v>0</v>
      </c>
      <c r="K9" s="176" t="e">
        <f>INDEX(方位係数!$B$2:$J$10,MATCH($E9,方位係数!$A$2:$A$10,0),MATCH($D$4,方位係数!$B$1:$J$1))</f>
        <v>#N/A</v>
      </c>
      <c r="L9" s="176" t="e">
        <f t="shared" ref="L9:L20" si="2">$K9*$F9*$J9</f>
        <v>#N/A</v>
      </c>
      <c r="M9" s="176" t="e">
        <f>INDEX(方位係数!$B$13:$J$21,MATCH($E9,方位係数!$A$13:$A$21,0),MATCH($D$4,方位係数!$B$12:$J$12))</f>
        <v>#N/A</v>
      </c>
      <c r="N9" s="176" t="e">
        <f t="shared" ref="N9:N20" si="3">$M9*$F9*$J9</f>
        <v>#N/A</v>
      </c>
      <c r="P9" s="309" t="s">
        <v>178</v>
      </c>
      <c r="Q9" s="311" t="s">
        <v>504</v>
      </c>
    </row>
    <row r="10" spans="1:20" ht="18" customHeight="1" x14ac:dyDescent="0.15">
      <c r="C10" s="345" t="s">
        <v>25</v>
      </c>
      <c r="D10" s="346"/>
      <c r="E10" s="177" t="s">
        <v>27</v>
      </c>
      <c r="F10" s="178" t="e">
        <f>IF(INT(LEFT($D$4,1))&lt;4,15.9,15.71)</f>
        <v>#VALUE!</v>
      </c>
      <c r="G10" s="59"/>
      <c r="H10" s="179">
        <v>1</v>
      </c>
      <c r="I10" s="178" t="e">
        <f t="shared" si="0"/>
        <v>#VALUE!</v>
      </c>
      <c r="J10" s="180">
        <f t="shared" si="1"/>
        <v>0</v>
      </c>
      <c r="K10" s="180" t="e">
        <f>INDEX(方位係数!$B$2:$J$10,MATCH($E10,方位係数!$A$2:$A$10,0),MATCH($D$4,方位係数!$B$1:$J$1))</f>
        <v>#N/A</v>
      </c>
      <c r="L10" s="180" t="e">
        <f t="shared" si="2"/>
        <v>#N/A</v>
      </c>
      <c r="M10" s="180" t="e">
        <f>INDEX(方位係数!$B$13:$J$21,MATCH($E10,方位係数!$A$13:$A$21,0),MATCH($D$4,方位係数!$B$12:$J$12))</f>
        <v>#N/A</v>
      </c>
      <c r="N10" s="180" t="e">
        <f t="shared" si="3"/>
        <v>#N/A</v>
      </c>
      <c r="P10" s="309"/>
      <c r="Q10" s="312"/>
    </row>
    <row r="11" spans="1:20" ht="18" customHeight="1" x14ac:dyDescent="0.15">
      <c r="C11" s="345" t="s">
        <v>25</v>
      </c>
      <c r="D11" s="346"/>
      <c r="E11" s="177" t="s">
        <v>28</v>
      </c>
      <c r="F11" s="178" t="e">
        <f>IF(INT(LEFT($D$4,1))&lt;4,22.4,21.56)</f>
        <v>#VALUE!</v>
      </c>
      <c r="G11" s="59"/>
      <c r="H11" s="179">
        <v>1</v>
      </c>
      <c r="I11" s="178" t="e">
        <f t="shared" si="0"/>
        <v>#VALUE!</v>
      </c>
      <c r="J11" s="180">
        <f t="shared" si="1"/>
        <v>0</v>
      </c>
      <c r="K11" s="180" t="e">
        <f>INDEX(方位係数!$B$2:$J$10,MATCH($E11,方位係数!$A$2:$A$10,0),MATCH($D$4,方位係数!$B$1:$J$1))</f>
        <v>#N/A</v>
      </c>
      <c r="L11" s="180" t="e">
        <f t="shared" si="2"/>
        <v>#N/A</v>
      </c>
      <c r="M11" s="180" t="e">
        <f>INDEX(方位係数!$B$13:$J$21,MATCH($E11,方位係数!$A$13:$A$21,0),MATCH($D$4,方位係数!$B$12:$J$12))</f>
        <v>#N/A</v>
      </c>
      <c r="N11" s="180" t="e">
        <f t="shared" si="3"/>
        <v>#N/A</v>
      </c>
      <c r="P11" s="309"/>
      <c r="Q11" s="312"/>
    </row>
    <row r="12" spans="1:20" ht="18" customHeight="1" x14ac:dyDescent="0.15">
      <c r="C12" s="345" t="s">
        <v>25</v>
      </c>
      <c r="D12" s="346"/>
      <c r="E12" s="177" t="s">
        <v>29</v>
      </c>
      <c r="F12" s="178" t="e">
        <f>IF(INT(LEFT($D$4,1))&lt;4,14.45,14.07)</f>
        <v>#VALUE!</v>
      </c>
      <c r="G12" s="59"/>
      <c r="H12" s="179">
        <v>1</v>
      </c>
      <c r="I12" s="178" t="e">
        <f t="shared" si="0"/>
        <v>#VALUE!</v>
      </c>
      <c r="J12" s="180">
        <f t="shared" si="1"/>
        <v>0</v>
      </c>
      <c r="K12" s="180" t="e">
        <f>INDEX(方位係数!$B$2:$J$10,MATCH($E12,方位係数!$A$2:$A$10,0),MATCH($D$4,方位係数!$B$1:$J$1))</f>
        <v>#N/A</v>
      </c>
      <c r="L12" s="180" t="e">
        <f t="shared" si="2"/>
        <v>#N/A</v>
      </c>
      <c r="M12" s="180" t="e">
        <f>INDEX(方位係数!$B$13:$J$21,MATCH($E12,方位係数!$A$13:$A$21,0),MATCH($D$4,方位係数!$B$12:$J$12))</f>
        <v>#N/A</v>
      </c>
      <c r="N12" s="180" t="e">
        <f t="shared" si="3"/>
        <v>#N/A</v>
      </c>
      <c r="P12" s="309"/>
      <c r="Q12" s="312"/>
    </row>
    <row r="13" spans="1:20" ht="18" customHeight="1" x14ac:dyDescent="0.15">
      <c r="C13" s="345" t="s">
        <v>66</v>
      </c>
      <c r="D13" s="346"/>
      <c r="E13" s="177" t="s">
        <v>26</v>
      </c>
      <c r="F13" s="178">
        <v>4.78</v>
      </c>
      <c r="G13" s="59"/>
      <c r="H13" s="179">
        <v>1</v>
      </c>
      <c r="I13" s="178">
        <f t="shared" si="0"/>
        <v>0</v>
      </c>
      <c r="J13" s="180">
        <f t="shared" si="1"/>
        <v>0</v>
      </c>
      <c r="K13" s="180" t="e">
        <f>INDEX(方位係数!$B$2:$J$10,MATCH($E13,方位係数!$A$2:$A$10,0),MATCH($D$4,方位係数!$B$1:$J$1))</f>
        <v>#N/A</v>
      </c>
      <c r="L13" s="180" t="e">
        <f t="shared" si="2"/>
        <v>#N/A</v>
      </c>
      <c r="M13" s="180" t="e">
        <f>INDEX(方位係数!$B$13:$J$21,MATCH($E13,方位係数!$A$13:$A$21,0),MATCH($D$4,方位係数!$B$12:$J$12))</f>
        <v>#N/A</v>
      </c>
      <c r="N13" s="180" t="e">
        <f t="shared" si="3"/>
        <v>#N/A</v>
      </c>
      <c r="P13" s="309"/>
      <c r="Q13" s="312"/>
    </row>
    <row r="14" spans="1:20" ht="18" customHeight="1" x14ac:dyDescent="0.15">
      <c r="C14" s="345" t="s">
        <v>66</v>
      </c>
      <c r="D14" s="346"/>
      <c r="E14" s="177" t="s">
        <v>27</v>
      </c>
      <c r="F14" s="178">
        <v>2.73</v>
      </c>
      <c r="G14" s="59"/>
      <c r="H14" s="179">
        <v>1</v>
      </c>
      <c r="I14" s="178">
        <f t="shared" si="0"/>
        <v>0</v>
      </c>
      <c r="J14" s="180">
        <f t="shared" si="1"/>
        <v>0</v>
      </c>
      <c r="K14" s="180" t="e">
        <f>INDEX(方位係数!$B$2:$J$10,MATCH($E14,方位係数!$A$2:$A$10,0),MATCH($D$4,方位係数!$B$1:$J$1))</f>
        <v>#N/A</v>
      </c>
      <c r="L14" s="180" t="e">
        <f t="shared" si="2"/>
        <v>#N/A</v>
      </c>
      <c r="M14" s="180" t="e">
        <f>INDEX(方位係数!$B$13:$J$21,MATCH($E14,方位係数!$A$13:$A$21,0),MATCH($D$4,方位係数!$B$12:$J$12))</f>
        <v>#N/A</v>
      </c>
      <c r="N14" s="180" t="e">
        <f t="shared" si="3"/>
        <v>#N/A</v>
      </c>
      <c r="P14" s="309"/>
      <c r="Q14" s="312"/>
    </row>
    <row r="15" spans="1:20" ht="18" customHeight="1" x14ac:dyDescent="0.15">
      <c r="C15" s="345" t="s">
        <v>66</v>
      </c>
      <c r="D15" s="346"/>
      <c r="E15" s="177" t="s">
        <v>28</v>
      </c>
      <c r="F15" s="178">
        <v>3.1900000000000004</v>
      </c>
      <c r="G15" s="59"/>
      <c r="H15" s="179">
        <v>1</v>
      </c>
      <c r="I15" s="178">
        <f t="shared" si="0"/>
        <v>0</v>
      </c>
      <c r="J15" s="180">
        <f>G15*0.034</f>
        <v>0</v>
      </c>
      <c r="K15" s="180" t="e">
        <f>INDEX(方位係数!$B$2:$J$10,MATCH($E15,方位係数!$A$2:$A$10,0),MATCH($D$4,方位係数!$B$1:$J$1))</f>
        <v>#N/A</v>
      </c>
      <c r="L15" s="180" t="e">
        <f t="shared" si="2"/>
        <v>#N/A</v>
      </c>
      <c r="M15" s="180" t="e">
        <f>INDEX(方位係数!$B$13:$J$21,MATCH($E15,方位係数!$A$13:$A$21,0),MATCH($D$4,方位係数!$B$12:$J$12))</f>
        <v>#N/A</v>
      </c>
      <c r="N15" s="180" t="e">
        <f t="shared" si="3"/>
        <v>#N/A</v>
      </c>
      <c r="P15" s="309"/>
      <c r="Q15" s="312"/>
    </row>
    <row r="16" spans="1:20" ht="18" customHeight="1" x14ac:dyDescent="0.15">
      <c r="C16" s="345" t="s">
        <v>66</v>
      </c>
      <c r="D16" s="346"/>
      <c r="E16" s="177" t="s">
        <v>29</v>
      </c>
      <c r="F16" s="178">
        <v>2.73</v>
      </c>
      <c r="G16" s="59"/>
      <c r="H16" s="179">
        <v>1</v>
      </c>
      <c r="I16" s="178">
        <f t="shared" si="0"/>
        <v>0</v>
      </c>
      <c r="J16" s="180">
        <f t="shared" si="1"/>
        <v>0</v>
      </c>
      <c r="K16" s="180" t="e">
        <f>INDEX(方位係数!$B$2:$J$10,MATCH($E16,方位係数!$A$2:$A$10,0),MATCH($D$4,方位係数!$B$1:$J$1))</f>
        <v>#N/A</v>
      </c>
      <c r="L16" s="180" t="e">
        <f t="shared" si="2"/>
        <v>#N/A</v>
      </c>
      <c r="M16" s="180" t="e">
        <f>INDEX(方位係数!$B$13:$J$21,MATCH($E16,方位係数!$A$13:$A$21,0),MATCH($D$4,方位係数!$B$12:$J$12))</f>
        <v>#N/A</v>
      </c>
      <c r="N16" s="180" t="e">
        <f t="shared" si="3"/>
        <v>#N/A</v>
      </c>
      <c r="P16" s="309"/>
      <c r="Q16" s="312"/>
    </row>
    <row r="17" spans="1:17" ht="18" customHeight="1" x14ac:dyDescent="0.15">
      <c r="C17" s="345" t="s">
        <v>30</v>
      </c>
      <c r="D17" s="346"/>
      <c r="E17" s="177" t="s">
        <v>26</v>
      </c>
      <c r="F17" s="178" t="e">
        <f>IF(INT(LEFT($D$4,1))&lt;4,14.43,14.76)</f>
        <v>#VALUE!</v>
      </c>
      <c r="G17" s="59"/>
      <c r="H17" s="179">
        <v>1</v>
      </c>
      <c r="I17" s="178" t="e">
        <f t="shared" si="0"/>
        <v>#VALUE!</v>
      </c>
      <c r="J17" s="180">
        <f t="shared" si="1"/>
        <v>0</v>
      </c>
      <c r="K17" s="180" t="e">
        <f>INDEX(方位係数!$B$2:$J$10,MATCH($E17,方位係数!$A$2:$A$10,0),MATCH($D$4,方位係数!$B$1:$J$1))</f>
        <v>#N/A</v>
      </c>
      <c r="L17" s="180" t="e">
        <f t="shared" si="2"/>
        <v>#N/A</v>
      </c>
      <c r="M17" s="180" t="e">
        <f>INDEX(方位係数!$B$13:$J$21,MATCH($E17,方位係数!$A$13:$A$21,0),MATCH($D$4,方位係数!$B$12:$J$12))</f>
        <v>#N/A</v>
      </c>
      <c r="N17" s="180" t="e">
        <f t="shared" si="3"/>
        <v>#N/A</v>
      </c>
      <c r="P17" s="309"/>
      <c r="Q17" s="312"/>
    </row>
    <row r="18" spans="1:17" ht="18" customHeight="1" x14ac:dyDescent="0.15">
      <c r="C18" s="345" t="s">
        <v>30</v>
      </c>
      <c r="D18" s="346"/>
      <c r="E18" s="177" t="s">
        <v>27</v>
      </c>
      <c r="F18" s="178" t="e">
        <f>IF(INT(LEFT($D$4,1))&lt;4,12.54,11.58)</f>
        <v>#VALUE!</v>
      </c>
      <c r="G18" s="59"/>
      <c r="H18" s="179">
        <v>1</v>
      </c>
      <c r="I18" s="178" t="e">
        <f t="shared" si="0"/>
        <v>#VALUE!</v>
      </c>
      <c r="J18" s="180">
        <f t="shared" si="1"/>
        <v>0</v>
      </c>
      <c r="K18" s="180" t="e">
        <f>INDEX(方位係数!$B$2:$J$10,MATCH($E18,方位係数!$A$2:$A$10,0),MATCH($D$4,方位係数!$B$1:$J$1))</f>
        <v>#N/A</v>
      </c>
      <c r="L18" s="180" t="e">
        <f t="shared" si="2"/>
        <v>#N/A</v>
      </c>
      <c r="M18" s="180" t="e">
        <f>INDEX(方位係数!$B$13:$J$21,MATCH($E18,方位係数!$A$13:$A$21,0),MATCH($D$4,方位係数!$B$12:$J$12))</f>
        <v>#N/A</v>
      </c>
      <c r="N18" s="180" t="e">
        <f t="shared" si="3"/>
        <v>#N/A</v>
      </c>
      <c r="P18" s="309"/>
      <c r="Q18" s="312"/>
    </row>
    <row r="19" spans="1:17" ht="18" customHeight="1" x14ac:dyDescent="0.15">
      <c r="C19" s="345" t="s">
        <v>30</v>
      </c>
      <c r="D19" s="346"/>
      <c r="E19" s="177" t="s">
        <v>28</v>
      </c>
      <c r="F19" s="178" t="e">
        <f>IF(INT(LEFT($D$4,1))&lt;4,24.36,24.02)</f>
        <v>#VALUE!</v>
      </c>
      <c r="G19" s="59"/>
      <c r="H19" s="179">
        <v>1</v>
      </c>
      <c r="I19" s="178" t="e">
        <f t="shared" si="0"/>
        <v>#VALUE!</v>
      </c>
      <c r="J19" s="180">
        <f t="shared" si="1"/>
        <v>0</v>
      </c>
      <c r="K19" s="180" t="e">
        <f>INDEX(方位係数!$B$2:$J$10,MATCH($E19,方位係数!$A$2:$A$10,0),MATCH($D$4,方位係数!$B$1:$J$1))</f>
        <v>#N/A</v>
      </c>
      <c r="L19" s="180" t="e">
        <f t="shared" si="2"/>
        <v>#N/A</v>
      </c>
      <c r="M19" s="180" t="e">
        <f>INDEX(方位係数!$B$13:$J$21,MATCH($E19,方位係数!$A$13:$A$21,0),MATCH($D$4,方位係数!$B$12:$J$12))</f>
        <v>#N/A</v>
      </c>
      <c r="N19" s="180" t="e">
        <f t="shared" si="3"/>
        <v>#N/A</v>
      </c>
      <c r="P19" s="309"/>
      <c r="Q19" s="312"/>
    </row>
    <row r="20" spans="1:17" ht="18" customHeight="1" thickBot="1" x14ac:dyDescent="0.2">
      <c r="C20" s="347" t="s">
        <v>30</v>
      </c>
      <c r="D20" s="348"/>
      <c r="E20" s="181" t="s">
        <v>29</v>
      </c>
      <c r="F20" s="182" t="e">
        <f>IF(INT(LEFT($D$4,1))&lt;4,12.75,12.44)</f>
        <v>#VALUE!</v>
      </c>
      <c r="G20" s="70"/>
      <c r="H20" s="183">
        <v>1</v>
      </c>
      <c r="I20" s="182" t="e">
        <f t="shared" si="0"/>
        <v>#VALUE!</v>
      </c>
      <c r="J20" s="184">
        <f t="shared" si="1"/>
        <v>0</v>
      </c>
      <c r="K20" s="185" t="e">
        <f>INDEX(方位係数!$B$2:$J$10,MATCH($E20,方位係数!$A$2:$A$10,0),MATCH($D$4,方位係数!$B$1:$J$1))</f>
        <v>#N/A</v>
      </c>
      <c r="L20" s="185" t="e">
        <f t="shared" si="2"/>
        <v>#N/A</v>
      </c>
      <c r="M20" s="185" t="e">
        <f>INDEX(方位係数!$B$13:$J$21,MATCH($E20,方位係数!$A$13:$A$21,0),MATCH($D$4,方位係数!$B$12:$J$12))</f>
        <v>#N/A</v>
      </c>
      <c r="N20" s="185" t="e">
        <f t="shared" si="3"/>
        <v>#N/A</v>
      </c>
      <c r="P20" s="309"/>
      <c r="Q20" s="313"/>
    </row>
    <row r="21" spans="1:17" ht="18" customHeight="1" thickTop="1" x14ac:dyDescent="0.15">
      <c r="D21" s="349" t="s">
        <v>31</v>
      </c>
      <c r="E21" s="350"/>
      <c r="F21" s="186" t="e">
        <f>SUM(F9:F20)</f>
        <v>#VALUE!</v>
      </c>
      <c r="G21" s="167"/>
      <c r="H21" s="187" t="s">
        <v>32</v>
      </c>
      <c r="I21" s="186" t="e">
        <f>SUM(I9:I20)</f>
        <v>#VALUE!</v>
      </c>
      <c r="J21" s="188"/>
      <c r="K21" s="187" t="s">
        <v>190</v>
      </c>
      <c r="L21" s="189" t="e">
        <f>SUM(L9:L20)</f>
        <v>#N/A</v>
      </c>
      <c r="M21" s="187" t="s">
        <v>189</v>
      </c>
      <c r="N21" s="189" t="e">
        <f>SUM(N9:N20)</f>
        <v>#N/A</v>
      </c>
    </row>
    <row r="22" spans="1:17" ht="18.75" customHeight="1" x14ac:dyDescent="0.15">
      <c r="C22" s="127" t="s">
        <v>378</v>
      </c>
      <c r="P22" s="341"/>
    </row>
    <row r="23" spans="1:17" ht="9" customHeight="1" x14ac:dyDescent="0.15">
      <c r="F23" s="190"/>
      <c r="P23" s="341"/>
    </row>
    <row r="24" spans="1:17" s="42" customFormat="1" ht="18.75" customHeight="1" x14ac:dyDescent="0.15">
      <c r="A24" s="119"/>
      <c r="B24" s="119"/>
      <c r="C24" s="122" t="s">
        <v>505</v>
      </c>
      <c r="D24" s="119"/>
      <c r="E24" s="119"/>
      <c r="F24" s="119"/>
      <c r="G24" s="119"/>
      <c r="H24" s="119"/>
      <c r="I24" s="119"/>
      <c r="J24" s="119"/>
      <c r="K24" s="119"/>
      <c r="L24" s="119"/>
      <c r="M24" s="119"/>
      <c r="N24" s="119"/>
      <c r="O24" s="119"/>
      <c r="P24" s="341"/>
      <c r="Q24" s="121"/>
    </row>
    <row r="25" spans="1:17" s="4" customFormat="1" ht="62.25" customHeight="1" thickBot="1" x14ac:dyDescent="0.2">
      <c r="A25" s="171"/>
      <c r="B25" s="146"/>
      <c r="C25" s="314" t="s">
        <v>417</v>
      </c>
      <c r="D25" s="316"/>
      <c r="E25" s="147" t="s">
        <v>22</v>
      </c>
      <c r="F25" s="125" t="s">
        <v>186</v>
      </c>
      <c r="G25" s="125" t="s">
        <v>415</v>
      </c>
      <c r="H25" s="125" t="s">
        <v>23</v>
      </c>
      <c r="I25" s="125" t="s">
        <v>24</v>
      </c>
      <c r="J25" s="125" t="s">
        <v>287</v>
      </c>
      <c r="K25" s="125" t="s">
        <v>188</v>
      </c>
      <c r="L25" s="125" t="s">
        <v>285</v>
      </c>
      <c r="M25" s="125" t="s">
        <v>187</v>
      </c>
      <c r="N25" s="125" t="s">
        <v>288</v>
      </c>
      <c r="O25" s="146"/>
      <c r="P25" s="341"/>
      <c r="Q25" s="191"/>
    </row>
    <row r="26" spans="1:17" ht="18" customHeight="1" thickTop="1" x14ac:dyDescent="0.15">
      <c r="C26" s="376" t="s">
        <v>229</v>
      </c>
      <c r="D26" s="377"/>
      <c r="E26" s="193"/>
      <c r="F26" s="194">
        <f>IF($N$4="床断熱",62.11,0)</f>
        <v>0</v>
      </c>
      <c r="G26" s="89"/>
      <c r="H26" s="195">
        <v>0.7</v>
      </c>
      <c r="I26" s="194">
        <f>F26*G26*H26</f>
        <v>0</v>
      </c>
      <c r="J26" s="196">
        <f t="shared" ref="J26:J33" si="4">G26*0.034</f>
        <v>0</v>
      </c>
      <c r="K26" s="196">
        <v>0</v>
      </c>
      <c r="L26" s="196">
        <f t="shared" ref="L26:L33" si="5">$K26*$F26*$J26</f>
        <v>0</v>
      </c>
      <c r="M26" s="196">
        <v>0</v>
      </c>
      <c r="N26" s="196">
        <f t="shared" ref="N26:N33" si="6">$M26*$F26*$J26</f>
        <v>0</v>
      </c>
      <c r="O26" s="119"/>
      <c r="P26" s="309" t="s">
        <v>178</v>
      </c>
      <c r="Q26" s="311" t="s">
        <v>428</v>
      </c>
    </row>
    <row r="27" spans="1:17" ht="6" customHeight="1" x14ac:dyDescent="0.15">
      <c r="P27" s="309"/>
      <c r="Q27" s="312"/>
    </row>
    <row r="28" spans="1:17" ht="18" customHeight="1" x14ac:dyDescent="0.15">
      <c r="C28" s="404" t="s">
        <v>400</v>
      </c>
      <c r="D28" s="405"/>
      <c r="E28" s="197" t="s">
        <v>27</v>
      </c>
      <c r="F28" s="198">
        <f>IF($N$4="床断熱",1.82*0.45,0)</f>
        <v>0</v>
      </c>
      <c r="G28" s="62"/>
      <c r="H28" s="199">
        <v>1</v>
      </c>
      <c r="I28" s="198">
        <f t="shared" ref="I28:I33" si="7">F28*G28*H28</f>
        <v>0</v>
      </c>
      <c r="J28" s="200">
        <f t="shared" si="4"/>
        <v>0</v>
      </c>
      <c r="K28" s="200" t="e">
        <f>INDEX(方位係数!$B$2:$J$10,MATCH($E28,方位係数!$A$2:$A$10,0),MATCH($D$4,方位係数!$B$1:$J$1))</f>
        <v>#N/A</v>
      </c>
      <c r="L28" s="200" t="e">
        <f t="shared" si="5"/>
        <v>#N/A</v>
      </c>
      <c r="M28" s="200" t="e">
        <f>INDEX(方位係数!$B$13:$J$21,MATCH($E28,方位係数!$A$13:$A$21,0),MATCH($D$4,方位係数!$B$12:$J$12))</f>
        <v>#N/A</v>
      </c>
      <c r="N28" s="200" t="e">
        <f t="shared" si="6"/>
        <v>#N/A</v>
      </c>
      <c r="O28" s="201"/>
      <c r="P28" s="309"/>
      <c r="Q28" s="312"/>
    </row>
    <row r="29" spans="1:17" ht="18" customHeight="1" x14ac:dyDescent="0.15">
      <c r="C29" s="345" t="s">
        <v>401</v>
      </c>
      <c r="D29" s="361"/>
      <c r="E29" s="177" t="s">
        <v>28</v>
      </c>
      <c r="F29" s="178">
        <f>IF($N$4="床断熱",1.365*0.45,0)</f>
        <v>0</v>
      </c>
      <c r="G29" s="59"/>
      <c r="H29" s="179">
        <v>1</v>
      </c>
      <c r="I29" s="178">
        <f t="shared" si="7"/>
        <v>0</v>
      </c>
      <c r="J29" s="180">
        <f t="shared" si="4"/>
        <v>0</v>
      </c>
      <c r="K29" s="180" t="e">
        <f>INDEX(方位係数!$B$2:$J$10,MATCH($E29,方位係数!$A$2:$A$10,0),MATCH($D$4,方位係数!$B$1:$J$1))</f>
        <v>#N/A</v>
      </c>
      <c r="L29" s="180" t="e">
        <f t="shared" si="5"/>
        <v>#N/A</v>
      </c>
      <c r="M29" s="180" t="e">
        <f>INDEX(方位係数!$B$13:$J$21,MATCH($E29,方位係数!$A$13:$A$21,0),MATCH($D$4,方位係数!$B$12:$J$12))</f>
        <v>#N/A</v>
      </c>
      <c r="N29" s="180" t="e">
        <f t="shared" si="6"/>
        <v>#N/A</v>
      </c>
      <c r="O29" s="201"/>
      <c r="P29" s="309"/>
      <c r="Q29" s="312"/>
    </row>
    <row r="30" spans="1:17" ht="18" customHeight="1" x14ac:dyDescent="0.15">
      <c r="C30" s="345" t="s">
        <v>402</v>
      </c>
      <c r="D30" s="361"/>
      <c r="E30" s="202"/>
      <c r="F30" s="178">
        <f>IF($N$4="床断熱",3.185*0.45,0)</f>
        <v>0</v>
      </c>
      <c r="G30" s="59"/>
      <c r="H30" s="179">
        <v>0.7</v>
      </c>
      <c r="I30" s="178">
        <f t="shared" si="7"/>
        <v>0</v>
      </c>
      <c r="J30" s="180">
        <f t="shared" si="4"/>
        <v>0</v>
      </c>
      <c r="K30" s="180">
        <v>0</v>
      </c>
      <c r="L30" s="180">
        <f t="shared" si="5"/>
        <v>0</v>
      </c>
      <c r="M30" s="180">
        <v>0</v>
      </c>
      <c r="N30" s="180">
        <f t="shared" si="6"/>
        <v>0</v>
      </c>
      <c r="O30" s="201"/>
      <c r="P30" s="309"/>
      <c r="Q30" s="312"/>
    </row>
    <row r="31" spans="1:17" ht="18" customHeight="1" x14ac:dyDescent="0.15">
      <c r="C31" s="345" t="s">
        <v>403</v>
      </c>
      <c r="D31" s="361"/>
      <c r="E31" s="177" t="s">
        <v>27</v>
      </c>
      <c r="F31" s="203">
        <f>IF($N$4="床断熱",1.82*0.45,0)</f>
        <v>0</v>
      </c>
      <c r="G31" s="61"/>
      <c r="H31" s="204">
        <v>1</v>
      </c>
      <c r="I31" s="203">
        <f t="shared" si="7"/>
        <v>0</v>
      </c>
      <c r="J31" s="180">
        <f t="shared" si="4"/>
        <v>0</v>
      </c>
      <c r="K31" s="180" t="e">
        <f>INDEX(方位係数!$B$2:$J$10,MATCH($E31,方位係数!$A$2:$A$10,0),MATCH($D$4,方位係数!$B$1:$J$1))</f>
        <v>#N/A</v>
      </c>
      <c r="L31" s="180" t="e">
        <f t="shared" si="5"/>
        <v>#N/A</v>
      </c>
      <c r="M31" s="180" t="e">
        <f>INDEX(方位係数!$B$13:$J$21,MATCH($E31,方位係数!$A$13:$A$21,0),MATCH($D$4,方位係数!$B$12:$J$12))</f>
        <v>#N/A</v>
      </c>
      <c r="N31" s="180" t="e">
        <f t="shared" si="6"/>
        <v>#N/A</v>
      </c>
      <c r="O31" s="201"/>
      <c r="P31" s="309"/>
      <c r="Q31" s="312"/>
    </row>
    <row r="32" spans="1:17" ht="18" customHeight="1" x14ac:dyDescent="0.15">
      <c r="C32" s="345" t="s">
        <v>404</v>
      </c>
      <c r="D32" s="361"/>
      <c r="E32" s="177" t="s">
        <v>28</v>
      </c>
      <c r="F32" s="203">
        <f>IF($N$4="床断熱",1.82*0.45,0)</f>
        <v>0</v>
      </c>
      <c r="G32" s="61"/>
      <c r="H32" s="204">
        <v>1</v>
      </c>
      <c r="I32" s="203">
        <f t="shared" si="7"/>
        <v>0</v>
      </c>
      <c r="J32" s="180">
        <f t="shared" si="4"/>
        <v>0</v>
      </c>
      <c r="K32" s="180" t="e">
        <f>INDEX(方位係数!$B$2:$J$10,MATCH($E32,方位係数!$A$2:$A$10,0),MATCH($D$4,方位係数!$B$1:$J$1))</f>
        <v>#N/A</v>
      </c>
      <c r="L32" s="180" t="e">
        <f t="shared" si="5"/>
        <v>#N/A</v>
      </c>
      <c r="M32" s="180" t="e">
        <f>INDEX(方位係数!$B$13:$J$21,MATCH($E32,方位係数!$A$13:$A$21,0),MATCH($D$4,方位係数!$B$12:$J$12))</f>
        <v>#N/A</v>
      </c>
      <c r="N32" s="180" t="e">
        <f t="shared" si="6"/>
        <v>#N/A</v>
      </c>
      <c r="O32" s="201"/>
      <c r="P32" s="309"/>
      <c r="Q32" s="312"/>
    </row>
    <row r="33" spans="1:17" ht="18" customHeight="1" thickBot="1" x14ac:dyDescent="0.2">
      <c r="C33" s="362" t="s">
        <v>405</v>
      </c>
      <c r="D33" s="363"/>
      <c r="E33" s="205"/>
      <c r="F33" s="182">
        <f>IF($N$4="床断熱",3.64*0.45,0)</f>
        <v>0</v>
      </c>
      <c r="G33" s="70"/>
      <c r="H33" s="183">
        <v>0.7</v>
      </c>
      <c r="I33" s="182">
        <f t="shared" si="7"/>
        <v>0</v>
      </c>
      <c r="J33" s="184">
        <f t="shared" si="4"/>
        <v>0</v>
      </c>
      <c r="K33" s="206">
        <v>0</v>
      </c>
      <c r="L33" s="206">
        <f t="shared" si="5"/>
        <v>0</v>
      </c>
      <c r="M33" s="206">
        <v>0</v>
      </c>
      <c r="N33" s="206">
        <f t="shared" si="6"/>
        <v>0</v>
      </c>
      <c r="O33" s="201"/>
      <c r="P33" s="309"/>
      <c r="Q33" s="313"/>
    </row>
    <row r="34" spans="1:17" ht="18" customHeight="1" thickTop="1" x14ac:dyDescent="0.15">
      <c r="C34" s="207"/>
      <c r="D34" s="364" t="s">
        <v>79</v>
      </c>
      <c r="E34" s="365"/>
      <c r="F34" s="208">
        <f>IF($N$4="床断熱",67.9+SUM(F28:F33),0)</f>
        <v>0</v>
      </c>
      <c r="G34" s="167"/>
      <c r="H34" s="209" t="s">
        <v>33</v>
      </c>
      <c r="I34" s="208">
        <f>SUM(I26:I33)</f>
        <v>0</v>
      </c>
      <c r="J34" s="127"/>
      <c r="K34" s="187" t="s">
        <v>411</v>
      </c>
      <c r="L34" s="189" t="e">
        <f>SUM(L26:L33)</f>
        <v>#N/A</v>
      </c>
      <c r="M34" s="187" t="s">
        <v>412</v>
      </c>
      <c r="N34" s="189" t="e">
        <f>SUM(N26:N33)</f>
        <v>#N/A</v>
      </c>
      <c r="O34" s="119"/>
    </row>
    <row r="35" spans="1:17" ht="48" customHeight="1" thickBot="1" x14ac:dyDescent="0.2">
      <c r="C35" s="304" t="s">
        <v>418</v>
      </c>
      <c r="D35" s="304"/>
      <c r="E35" s="304"/>
      <c r="F35" s="210" t="s">
        <v>34</v>
      </c>
      <c r="G35" s="211" t="s">
        <v>416</v>
      </c>
      <c r="H35" s="125" t="s">
        <v>23</v>
      </c>
      <c r="I35" s="125" t="s">
        <v>273</v>
      </c>
    </row>
    <row r="36" spans="1:17" ht="18" customHeight="1" thickTop="1" x14ac:dyDescent="0.15">
      <c r="C36" s="409" t="s">
        <v>406</v>
      </c>
      <c r="D36" s="409"/>
      <c r="E36" s="409"/>
      <c r="F36" s="174">
        <f>IF($N$4="床断熱",3.185,0)</f>
        <v>0</v>
      </c>
      <c r="G36" s="58">
        <v>0.99</v>
      </c>
      <c r="H36" s="175">
        <v>1</v>
      </c>
      <c r="I36" s="174">
        <f>F36*G36*H36</f>
        <v>0</v>
      </c>
      <c r="P36" s="120" t="s">
        <v>213</v>
      </c>
      <c r="Q36" s="356" t="s">
        <v>506</v>
      </c>
    </row>
    <row r="37" spans="1:17" ht="18" customHeight="1" x14ac:dyDescent="0.15">
      <c r="C37" s="410" t="s">
        <v>407</v>
      </c>
      <c r="D37" s="410"/>
      <c r="E37" s="410"/>
      <c r="F37" s="178">
        <f>IF($N$4="床断熱",3.185,0)</f>
        <v>0</v>
      </c>
      <c r="G37" s="59">
        <v>0.99</v>
      </c>
      <c r="H37" s="179">
        <v>0.7</v>
      </c>
      <c r="I37" s="178">
        <f>F37*G37*H37</f>
        <v>0</v>
      </c>
      <c r="Q37" s="357"/>
    </row>
    <row r="38" spans="1:17" ht="18" customHeight="1" x14ac:dyDescent="0.15">
      <c r="C38" s="410" t="s">
        <v>408</v>
      </c>
      <c r="D38" s="410"/>
      <c r="E38" s="410"/>
      <c r="F38" s="178">
        <f>IF($N$4="床断熱",3.64,0)</f>
        <v>0</v>
      </c>
      <c r="G38" s="59">
        <v>0.99</v>
      </c>
      <c r="H38" s="179">
        <v>1</v>
      </c>
      <c r="I38" s="178">
        <f>F38*G38*H38</f>
        <v>0</v>
      </c>
      <c r="Q38" s="357"/>
    </row>
    <row r="39" spans="1:17" ht="18" customHeight="1" thickBot="1" x14ac:dyDescent="0.2">
      <c r="C39" s="411" t="s">
        <v>409</v>
      </c>
      <c r="D39" s="411"/>
      <c r="E39" s="411"/>
      <c r="F39" s="186">
        <f>IF($N$4="床断熱",3.64,0)</f>
        <v>0</v>
      </c>
      <c r="G39" s="70">
        <v>0.99</v>
      </c>
      <c r="H39" s="212">
        <v>0.7</v>
      </c>
      <c r="I39" s="213">
        <f>F39*G39*H39</f>
        <v>0</v>
      </c>
      <c r="Q39" s="357"/>
    </row>
    <row r="40" spans="1:17" ht="20.25" customHeight="1" thickTop="1" thickBot="1" x14ac:dyDescent="0.2">
      <c r="C40" s="119" t="s">
        <v>425</v>
      </c>
      <c r="F40" s="190"/>
      <c r="H40" s="187" t="s">
        <v>191</v>
      </c>
      <c r="I40" s="186">
        <f>SUM(I36:I39)</f>
        <v>0</v>
      </c>
      <c r="Q40" s="358"/>
    </row>
    <row r="41" spans="1:17" ht="20.25" customHeight="1" thickTop="1" x14ac:dyDescent="0.15">
      <c r="C41" s="119" t="s">
        <v>433</v>
      </c>
      <c r="F41" s="190"/>
      <c r="Q41" s="214"/>
    </row>
    <row r="42" spans="1:17" ht="9" customHeight="1" x14ac:dyDescent="0.15">
      <c r="F42" s="190"/>
    </row>
    <row r="43" spans="1:17" s="42" customFormat="1" ht="18" customHeight="1" x14ac:dyDescent="0.15">
      <c r="A43" s="119"/>
      <c r="B43" s="119"/>
      <c r="C43" s="122" t="s">
        <v>509</v>
      </c>
      <c r="D43" s="119"/>
      <c r="E43" s="119"/>
      <c r="F43" s="119"/>
      <c r="G43" s="119"/>
      <c r="H43" s="119"/>
      <c r="I43" s="119"/>
      <c r="J43" s="119"/>
      <c r="K43" s="119"/>
      <c r="L43" s="119"/>
      <c r="M43" s="119"/>
      <c r="N43" s="119"/>
      <c r="O43" s="119"/>
      <c r="P43" s="120"/>
      <c r="Q43" s="215"/>
    </row>
    <row r="44" spans="1:17" s="4" customFormat="1" ht="60.75" customHeight="1" thickBot="1" x14ac:dyDescent="0.2">
      <c r="A44" s="171"/>
      <c r="B44" s="146"/>
      <c r="C44" s="314" t="s">
        <v>419</v>
      </c>
      <c r="D44" s="315"/>
      <c r="E44" s="316"/>
      <c r="F44" s="125" t="s">
        <v>186</v>
      </c>
      <c r="G44" s="125" t="s">
        <v>415</v>
      </c>
      <c r="H44" s="125" t="s">
        <v>23</v>
      </c>
      <c r="I44" s="125" t="s">
        <v>24</v>
      </c>
      <c r="J44" s="125" t="s">
        <v>287</v>
      </c>
      <c r="K44" s="125" t="s">
        <v>188</v>
      </c>
      <c r="L44" s="125" t="s">
        <v>285</v>
      </c>
      <c r="M44" s="125" t="s">
        <v>187</v>
      </c>
      <c r="N44" s="125" t="s">
        <v>288</v>
      </c>
      <c r="O44" s="146"/>
      <c r="P44" s="120"/>
      <c r="Q44" s="216"/>
    </row>
    <row r="45" spans="1:17" ht="18" customHeight="1" thickTop="1" x14ac:dyDescent="0.15">
      <c r="C45" s="345" t="s">
        <v>410</v>
      </c>
      <c r="D45" s="361"/>
      <c r="E45" s="177" t="s">
        <v>26</v>
      </c>
      <c r="F45" s="178">
        <f>IF($N$4="基礎断熱",4.71,0)</f>
        <v>0</v>
      </c>
      <c r="G45" s="62"/>
      <c r="H45" s="179">
        <v>1</v>
      </c>
      <c r="I45" s="178">
        <f>F45*G45*H45</f>
        <v>0</v>
      </c>
      <c r="J45" s="180">
        <f t="shared" ref="J45:J48" si="8">G45*0.034</f>
        <v>0</v>
      </c>
      <c r="K45" s="180" t="e">
        <f>INDEX(方位係数!$B$2:$J$10,MATCH($E45,方位係数!$A$2:$A$10,0),MATCH($D$4,方位係数!$B$1:$J$1))</f>
        <v>#N/A</v>
      </c>
      <c r="L45" s="180" t="e">
        <f t="shared" ref="L45:L48" si="9">$K45*$F45*$J45</f>
        <v>#N/A</v>
      </c>
      <c r="M45" s="180" t="e">
        <f>INDEX(方位係数!$B$13:$J$21,MATCH($E45,方位係数!$A$13:$A$21,0),MATCH($D$4,方位係数!$B$12:$J$12))</f>
        <v>#N/A</v>
      </c>
      <c r="N45" s="180" t="e">
        <f t="shared" ref="N45:N48" si="10">$M45*$F45*$J45</f>
        <v>#N/A</v>
      </c>
      <c r="O45" s="201"/>
      <c r="P45" s="157" t="s">
        <v>213</v>
      </c>
      <c r="Q45" s="342" t="s">
        <v>427</v>
      </c>
    </row>
    <row r="46" spans="1:17" ht="18" customHeight="1" x14ac:dyDescent="0.15">
      <c r="C46" s="345" t="s">
        <v>410</v>
      </c>
      <c r="D46" s="361"/>
      <c r="E46" s="177" t="s">
        <v>27</v>
      </c>
      <c r="F46" s="178">
        <f>IF($N$4="基礎断熱",3.28,0)</f>
        <v>0</v>
      </c>
      <c r="G46" s="59"/>
      <c r="H46" s="179">
        <v>1</v>
      </c>
      <c r="I46" s="178">
        <f>F46*G46*H46</f>
        <v>0</v>
      </c>
      <c r="J46" s="180">
        <f t="shared" si="8"/>
        <v>0</v>
      </c>
      <c r="K46" s="180" t="e">
        <f>INDEX(方位係数!$B$2:$J$10,MATCH($E46,方位係数!$A$2:$A$10,0),MATCH($D$4,方位係数!$B$1:$J$1))</f>
        <v>#N/A</v>
      </c>
      <c r="L46" s="180" t="e">
        <f t="shared" si="9"/>
        <v>#N/A</v>
      </c>
      <c r="M46" s="180" t="e">
        <f>INDEX(方位係数!$B$13:$J$21,MATCH($E46,方位係数!$A$13:$A$21,0),MATCH($D$4,方位係数!$B$12:$J$12))</f>
        <v>#N/A</v>
      </c>
      <c r="N46" s="180" t="e">
        <f t="shared" si="10"/>
        <v>#N/A</v>
      </c>
      <c r="O46" s="201"/>
      <c r="P46" s="157"/>
      <c r="Q46" s="343"/>
    </row>
    <row r="47" spans="1:17" ht="18" customHeight="1" x14ac:dyDescent="0.15">
      <c r="C47" s="345" t="s">
        <v>410</v>
      </c>
      <c r="D47" s="361"/>
      <c r="E47" s="177" t="s">
        <v>28</v>
      </c>
      <c r="F47" s="203">
        <f>IF($N$4="基礎断熱",4.71,0)</f>
        <v>0</v>
      </c>
      <c r="G47" s="59"/>
      <c r="H47" s="204">
        <v>1</v>
      </c>
      <c r="I47" s="203">
        <f>F47*G47*H47</f>
        <v>0</v>
      </c>
      <c r="J47" s="180">
        <f t="shared" si="8"/>
        <v>0</v>
      </c>
      <c r="K47" s="180" t="e">
        <f>INDEX(方位係数!$B$2:$J$10,MATCH($E47,方位係数!$A$2:$A$10,0),MATCH($D$4,方位係数!$B$1:$J$1))</f>
        <v>#N/A</v>
      </c>
      <c r="L47" s="180" t="e">
        <f t="shared" si="9"/>
        <v>#N/A</v>
      </c>
      <c r="M47" s="180" t="e">
        <f>INDEX(方位係数!$B$13:$J$21,MATCH($E47,方位係数!$A$13:$A$21,0),MATCH($D$4,方位係数!$B$12:$J$12))</f>
        <v>#N/A</v>
      </c>
      <c r="N47" s="180" t="e">
        <f t="shared" si="10"/>
        <v>#N/A</v>
      </c>
      <c r="O47" s="201"/>
      <c r="P47" s="157"/>
      <c r="Q47" s="343"/>
    </row>
    <row r="48" spans="1:17" ht="18" customHeight="1" thickBot="1" x14ac:dyDescent="0.2">
      <c r="C48" s="345" t="s">
        <v>410</v>
      </c>
      <c r="D48" s="361"/>
      <c r="E48" s="177" t="s">
        <v>29</v>
      </c>
      <c r="F48" s="213">
        <f>IF($N$4="基礎断熱",3.28,0)</f>
        <v>0</v>
      </c>
      <c r="G48" s="70"/>
      <c r="H48" s="212">
        <v>1</v>
      </c>
      <c r="I48" s="213">
        <f>F48*G48*H48</f>
        <v>0</v>
      </c>
      <c r="J48" s="184">
        <f t="shared" si="8"/>
        <v>0</v>
      </c>
      <c r="K48" s="206" t="e">
        <f>INDEX(方位係数!$B$2:$J$10,MATCH($E48,方位係数!$A$2:$A$10,0),MATCH($D$4,方位係数!$B$1:$J$1))</f>
        <v>#N/A</v>
      </c>
      <c r="L48" s="206" t="e">
        <f t="shared" si="9"/>
        <v>#N/A</v>
      </c>
      <c r="M48" s="206" t="e">
        <f>INDEX(方位係数!$B$13:$J$21,MATCH($E48,方位係数!$A$13:$A$21,0),MATCH($D$4,方位係数!$B$12:$J$12))</f>
        <v>#N/A</v>
      </c>
      <c r="N48" s="206" t="e">
        <f t="shared" si="10"/>
        <v>#N/A</v>
      </c>
      <c r="O48" s="201"/>
      <c r="P48" s="157"/>
      <c r="Q48" s="344"/>
    </row>
    <row r="49" spans="1:17" ht="18" customHeight="1" thickTop="1" thickBot="1" x14ac:dyDescent="0.2">
      <c r="C49" s="207"/>
      <c r="D49" s="359" t="s">
        <v>429</v>
      </c>
      <c r="E49" s="360"/>
      <c r="F49" s="186">
        <f>IF($N$4="基礎断熱",67.9+SUM(F45:F48),0)</f>
        <v>0</v>
      </c>
      <c r="G49" s="167"/>
      <c r="H49" s="187" t="s">
        <v>33</v>
      </c>
      <c r="I49" s="186">
        <f>SUM(I43:I48)</f>
        <v>0</v>
      </c>
      <c r="J49" s="127"/>
      <c r="K49" s="187" t="s">
        <v>411</v>
      </c>
      <c r="L49" s="189" t="e">
        <f>SUM(L40:L48)</f>
        <v>#N/A</v>
      </c>
      <c r="M49" s="187" t="s">
        <v>412</v>
      </c>
      <c r="N49" s="189" t="e">
        <f>SUM(N40:N48)</f>
        <v>#N/A</v>
      </c>
      <c r="O49" s="119"/>
    </row>
    <row r="50" spans="1:17" ht="48" customHeight="1" thickTop="1" x14ac:dyDescent="0.15">
      <c r="C50" s="304" t="s">
        <v>418</v>
      </c>
      <c r="D50" s="304"/>
      <c r="E50" s="304"/>
      <c r="F50" s="210" t="s">
        <v>34</v>
      </c>
      <c r="G50" s="211" t="s">
        <v>416</v>
      </c>
      <c r="H50" s="125" t="s">
        <v>23</v>
      </c>
      <c r="I50" s="125" t="s">
        <v>273</v>
      </c>
      <c r="Q50" s="342" t="s">
        <v>507</v>
      </c>
    </row>
    <row r="51" spans="1:17" ht="18" customHeight="1" thickBot="1" x14ac:dyDescent="0.2">
      <c r="C51" s="376" t="s">
        <v>413</v>
      </c>
      <c r="D51" s="377"/>
      <c r="E51" s="378"/>
      <c r="F51" s="194">
        <f>IF($N$4="基礎断熱",35.49,0)</f>
        <v>0</v>
      </c>
      <c r="G51" s="89">
        <v>0.99</v>
      </c>
      <c r="H51" s="217">
        <v>1</v>
      </c>
      <c r="I51" s="218">
        <f>F51*G51*H51</f>
        <v>0</v>
      </c>
      <c r="O51" s="119"/>
      <c r="P51" s="309" t="s">
        <v>213</v>
      </c>
      <c r="Q51" s="343"/>
    </row>
    <row r="52" spans="1:17" ht="18" customHeight="1" thickTop="1" x14ac:dyDescent="0.15">
      <c r="C52" s="119" t="s">
        <v>434</v>
      </c>
      <c r="D52" s="167"/>
      <c r="E52" s="167"/>
      <c r="F52" s="167"/>
      <c r="G52" s="167"/>
      <c r="H52" s="187" t="s">
        <v>191</v>
      </c>
      <c r="I52" s="186">
        <f>I51</f>
        <v>0</v>
      </c>
      <c r="J52" s="127"/>
      <c r="O52" s="119"/>
      <c r="P52" s="309"/>
      <c r="Q52" s="343"/>
    </row>
    <row r="53" spans="1:17" ht="9" customHeight="1" thickBot="1" x14ac:dyDescent="0.2">
      <c r="Q53" s="344"/>
    </row>
    <row r="54" spans="1:17" s="42" customFormat="1" ht="18" customHeight="1" thickTop="1" x14ac:dyDescent="0.15">
      <c r="A54" s="119"/>
      <c r="B54" s="119"/>
      <c r="C54" s="122" t="s">
        <v>508</v>
      </c>
      <c r="D54" s="119"/>
      <c r="E54" s="119"/>
      <c r="F54" s="119"/>
      <c r="G54" s="119"/>
      <c r="H54" s="119"/>
      <c r="I54" s="119"/>
      <c r="J54" s="119"/>
      <c r="K54" s="119"/>
      <c r="L54" s="119"/>
      <c r="M54" s="119"/>
      <c r="N54" s="119"/>
      <c r="O54" s="119"/>
      <c r="P54" s="119"/>
      <c r="Q54" s="219"/>
    </row>
    <row r="55" spans="1:17" s="4" customFormat="1" ht="66" customHeight="1" thickBot="1" x14ac:dyDescent="0.2">
      <c r="A55" s="171"/>
      <c r="B55" s="146"/>
      <c r="C55" s="314" t="s">
        <v>21</v>
      </c>
      <c r="D55" s="315"/>
      <c r="E55" s="316"/>
      <c r="F55" s="125" t="s">
        <v>186</v>
      </c>
      <c r="G55" s="125" t="s">
        <v>415</v>
      </c>
      <c r="H55" s="125" t="s">
        <v>23</v>
      </c>
      <c r="I55" s="147" t="s">
        <v>24</v>
      </c>
      <c r="J55" s="125" t="s">
        <v>286</v>
      </c>
      <c r="K55" s="125" t="s">
        <v>188</v>
      </c>
      <c r="L55" s="125" t="s">
        <v>285</v>
      </c>
      <c r="M55" s="125" t="s">
        <v>187</v>
      </c>
      <c r="N55" s="125" t="s">
        <v>288</v>
      </c>
      <c r="O55" s="172"/>
      <c r="P55" s="122"/>
      <c r="Q55" s="121"/>
    </row>
    <row r="56" spans="1:17" ht="18" customHeight="1" thickTop="1" x14ac:dyDescent="0.15">
      <c r="C56" s="401" t="s">
        <v>35</v>
      </c>
      <c r="D56" s="402"/>
      <c r="E56" s="403"/>
      <c r="F56" s="198">
        <f>IF($I$4="天井断熱",12.42+3.31,0)</f>
        <v>0</v>
      </c>
      <c r="G56" s="62"/>
      <c r="H56" s="199">
        <v>1</v>
      </c>
      <c r="I56" s="198">
        <f>F56*G56*H56</f>
        <v>0</v>
      </c>
      <c r="J56" s="200">
        <f>G56*0.034</f>
        <v>0</v>
      </c>
      <c r="K56" s="200">
        <v>1</v>
      </c>
      <c r="L56" s="200">
        <f>$K56*$F56*$J56</f>
        <v>0</v>
      </c>
      <c r="M56" s="200">
        <v>1</v>
      </c>
      <c r="N56" s="200">
        <f>$M56*$F56*$J56</f>
        <v>0</v>
      </c>
      <c r="P56" s="310" t="s">
        <v>213</v>
      </c>
      <c r="Q56" s="311" t="s">
        <v>214</v>
      </c>
    </row>
    <row r="57" spans="1:17" ht="18" customHeight="1" thickBot="1" x14ac:dyDescent="0.2">
      <c r="C57" s="412" t="s">
        <v>36</v>
      </c>
      <c r="D57" s="413"/>
      <c r="E57" s="414"/>
      <c r="F57" s="182">
        <f>IF($I$4="天井断熱",52.17,0)</f>
        <v>0</v>
      </c>
      <c r="G57" s="70"/>
      <c r="H57" s="183">
        <v>1</v>
      </c>
      <c r="I57" s="182">
        <f>F57*G57*H57</f>
        <v>0</v>
      </c>
      <c r="J57" s="184">
        <f>G57*0.034</f>
        <v>0</v>
      </c>
      <c r="K57" s="185">
        <v>1</v>
      </c>
      <c r="L57" s="185">
        <f>$K57*$F57*$J57</f>
        <v>0</v>
      </c>
      <c r="M57" s="185">
        <v>1</v>
      </c>
      <c r="N57" s="185">
        <f>$M57*$F57*$J57</f>
        <v>0</v>
      </c>
      <c r="P57" s="310"/>
      <c r="Q57" s="313"/>
    </row>
    <row r="58" spans="1:17" ht="18" customHeight="1" thickTop="1" x14ac:dyDescent="0.15">
      <c r="C58" s="220"/>
      <c r="D58" s="349" t="s">
        <v>37</v>
      </c>
      <c r="E58" s="350"/>
      <c r="F58" s="186">
        <f>SUM(F56:F57)</f>
        <v>0</v>
      </c>
      <c r="G58" s="167"/>
      <c r="H58" s="187" t="s">
        <v>192</v>
      </c>
      <c r="I58" s="186">
        <f>SUM(I56:I57)</f>
        <v>0</v>
      </c>
      <c r="J58" s="188"/>
      <c r="K58" s="187" t="s">
        <v>194</v>
      </c>
      <c r="L58" s="189">
        <f>SUM(L56:L57)</f>
        <v>0</v>
      </c>
      <c r="M58" s="187" t="s">
        <v>193</v>
      </c>
      <c r="N58" s="189">
        <f>SUM(N56:N57)</f>
        <v>0</v>
      </c>
    </row>
    <row r="59" spans="1:17" ht="13.5" customHeight="1" x14ac:dyDescent="0.15">
      <c r="O59" s="119"/>
      <c r="P59" s="341"/>
    </row>
    <row r="60" spans="1:17" ht="18" customHeight="1" x14ac:dyDescent="0.15">
      <c r="C60" s="122" t="s">
        <v>510</v>
      </c>
      <c r="P60" s="341"/>
    </row>
    <row r="61" spans="1:17" s="4" customFormat="1" ht="66" customHeight="1" thickBot="1" x14ac:dyDescent="0.2">
      <c r="A61" s="171"/>
      <c r="B61" s="146"/>
      <c r="C61" s="314" t="s">
        <v>21</v>
      </c>
      <c r="D61" s="316"/>
      <c r="E61" s="147" t="s">
        <v>22</v>
      </c>
      <c r="F61" s="125" t="s">
        <v>186</v>
      </c>
      <c r="G61" s="125" t="s">
        <v>415</v>
      </c>
      <c r="H61" s="125" t="s">
        <v>23</v>
      </c>
      <c r="I61" s="147" t="s">
        <v>24</v>
      </c>
      <c r="J61" s="125" t="s">
        <v>286</v>
      </c>
      <c r="K61" s="125" t="s">
        <v>188</v>
      </c>
      <c r="L61" s="125" t="s">
        <v>285</v>
      </c>
      <c r="M61" s="125" t="s">
        <v>187</v>
      </c>
      <c r="N61" s="125" t="s">
        <v>288</v>
      </c>
      <c r="O61" s="172"/>
      <c r="P61" s="122"/>
      <c r="Q61" s="121"/>
    </row>
    <row r="62" spans="1:17" ht="18" customHeight="1" thickTop="1" x14ac:dyDescent="0.15">
      <c r="C62" s="404" t="s">
        <v>80</v>
      </c>
      <c r="D62" s="407"/>
      <c r="E62" s="221" t="s">
        <v>38</v>
      </c>
      <c r="F62" s="174">
        <f>IF($I$4="屋根断熱",57.2,0)</f>
        <v>0</v>
      </c>
      <c r="G62" s="58"/>
      <c r="H62" s="175">
        <v>1</v>
      </c>
      <c r="I62" s="174">
        <f>F62*G62*H62</f>
        <v>0</v>
      </c>
      <c r="J62" s="176">
        <f t="shared" ref="J62:J71" si="11">G62*0.034</f>
        <v>0</v>
      </c>
      <c r="K62" s="176" t="e">
        <f>INDEX(方位係数!$B$2:$J$10,MATCH($E62,方位係数!$A$2:$A$10,0),MATCH($D$4,方位係数!$B$1:$J$1))</f>
        <v>#N/A</v>
      </c>
      <c r="L62" s="176" t="e">
        <f t="shared" ref="L62:L71" si="12">$K62*$F62*$J62</f>
        <v>#N/A</v>
      </c>
      <c r="M62" s="176" t="e">
        <f>INDEX(方位係数!$B$13:$J$21,MATCH($E62,方位係数!$A$13:$A$21,0),MATCH($D$4,方位係数!$B$12:$J$12))</f>
        <v>#N/A</v>
      </c>
      <c r="N62" s="176" t="e">
        <f t="shared" ref="N62:N71" si="13">$M62*$F62*$J62</f>
        <v>#N/A</v>
      </c>
      <c r="P62" s="120" t="s">
        <v>213</v>
      </c>
      <c r="Q62" s="311" t="s">
        <v>441</v>
      </c>
    </row>
    <row r="63" spans="1:17" ht="18" customHeight="1" x14ac:dyDescent="0.15">
      <c r="C63" s="345" t="s">
        <v>82</v>
      </c>
      <c r="D63" s="346"/>
      <c r="E63" s="222" t="s">
        <v>38</v>
      </c>
      <c r="F63" s="178">
        <f>IF($I$4="屋根断熱",13.16,0)</f>
        <v>0</v>
      </c>
      <c r="G63" s="59"/>
      <c r="H63" s="179">
        <v>1</v>
      </c>
      <c r="I63" s="178">
        <f>F63*G63*H63</f>
        <v>0</v>
      </c>
      <c r="J63" s="180">
        <f>G63*0.034</f>
        <v>0</v>
      </c>
      <c r="K63" s="180" t="e">
        <f>INDEX(方位係数!$B$2:$J$10,MATCH($E63,方位係数!$A$2:$A$10,0),MATCH($D$4,方位係数!$B$1:$J$1))</f>
        <v>#N/A</v>
      </c>
      <c r="L63" s="180" t="e">
        <f>$K63*$F63*$J63</f>
        <v>#N/A</v>
      </c>
      <c r="M63" s="180" t="e">
        <f>INDEX(方位係数!$B$13:$J$21,MATCH($E63,方位係数!$A$13:$A$21,0),MATCH($D$4,方位係数!$B$12:$J$12))</f>
        <v>#N/A</v>
      </c>
      <c r="N63" s="180" t="e">
        <f>$M63*$F63*$J63</f>
        <v>#N/A</v>
      </c>
      <c r="P63" s="120"/>
      <c r="Q63" s="312"/>
    </row>
    <row r="64" spans="1:17" ht="18" customHeight="1" x14ac:dyDescent="0.15">
      <c r="C64" s="406" t="s">
        <v>84</v>
      </c>
      <c r="D64" s="408"/>
      <c r="E64" s="223" t="s">
        <v>38</v>
      </c>
      <c r="F64" s="224">
        <f>IF($I$4="屋根断熱",5.56,0)</f>
        <v>0</v>
      </c>
      <c r="G64" s="70"/>
      <c r="H64" s="225">
        <v>1</v>
      </c>
      <c r="I64" s="224">
        <f>F64*G64*H64</f>
        <v>0</v>
      </c>
      <c r="J64" s="184">
        <f>G64*0.034</f>
        <v>0</v>
      </c>
      <c r="K64" s="184" t="e">
        <f>INDEX(方位係数!$B$2:$J$10,MATCH($E64,方位係数!$A$2:$A$10,0),MATCH($D$4,方位係数!$B$1:$J$1))</f>
        <v>#N/A</v>
      </c>
      <c r="L64" s="184" t="e">
        <f>$K64*$F64*$J64</f>
        <v>#N/A</v>
      </c>
      <c r="M64" s="184" t="e">
        <f>INDEX(方位係数!$B$13:$J$21,MATCH($E64,方位係数!$A$13:$A$21,0),MATCH($D$4,方位係数!$B$12:$J$12))</f>
        <v>#N/A</v>
      </c>
      <c r="N64" s="184" t="e">
        <f>$M64*$F64*$J64</f>
        <v>#N/A</v>
      </c>
      <c r="P64" s="120"/>
      <c r="Q64" s="312"/>
    </row>
    <row r="65" spans="1:17" ht="6" customHeight="1" x14ac:dyDescent="0.15">
      <c r="Q65" s="312"/>
    </row>
    <row r="66" spans="1:17" ht="18" customHeight="1" x14ac:dyDescent="0.15">
      <c r="C66" s="404" t="s">
        <v>81</v>
      </c>
      <c r="D66" s="407"/>
      <c r="E66" s="226" t="s">
        <v>29</v>
      </c>
      <c r="F66" s="198">
        <f>IF($I$4="屋根断熱",3.35,0)</f>
        <v>0</v>
      </c>
      <c r="G66" s="62"/>
      <c r="H66" s="199">
        <v>1</v>
      </c>
      <c r="I66" s="198">
        <f t="shared" ref="I66:I71" si="14">F66*G66*H66</f>
        <v>0</v>
      </c>
      <c r="J66" s="200">
        <f t="shared" si="11"/>
        <v>0</v>
      </c>
      <c r="K66" s="200" t="e">
        <f>INDEX(方位係数!$B$2:$J$10,MATCH($E66,方位係数!$A$2:$A$10,0),MATCH($D$4,方位係数!$B$1:$J$1))</f>
        <v>#N/A</v>
      </c>
      <c r="L66" s="200" t="e">
        <f t="shared" si="12"/>
        <v>#N/A</v>
      </c>
      <c r="M66" s="200" t="e">
        <f>INDEX(方位係数!$B$13:$J$21,MATCH($E66,方位係数!$A$13:$A$21,0),MATCH($D$4,方位係数!$B$12:$J$12))</f>
        <v>#N/A</v>
      </c>
      <c r="N66" s="200" t="e">
        <f t="shared" si="13"/>
        <v>#N/A</v>
      </c>
      <c r="P66" s="120"/>
      <c r="Q66" s="312"/>
    </row>
    <row r="67" spans="1:17" ht="18" customHeight="1" x14ac:dyDescent="0.15">
      <c r="C67" s="345" t="s">
        <v>81</v>
      </c>
      <c r="D67" s="346"/>
      <c r="E67" s="227" t="s">
        <v>27</v>
      </c>
      <c r="F67" s="178">
        <f>IF($I$4="屋根断熱",3.35,0)</f>
        <v>0</v>
      </c>
      <c r="G67" s="59"/>
      <c r="H67" s="179">
        <v>1</v>
      </c>
      <c r="I67" s="178">
        <f t="shared" si="14"/>
        <v>0</v>
      </c>
      <c r="J67" s="180">
        <f t="shared" si="11"/>
        <v>0</v>
      </c>
      <c r="K67" s="180" t="e">
        <f>INDEX(方位係数!$B$2:$J$10,MATCH($E67,方位係数!$A$2:$A$10,0),MATCH($D$4,方位係数!$B$1:$J$1))</f>
        <v>#N/A</v>
      </c>
      <c r="L67" s="180" t="e">
        <f t="shared" si="12"/>
        <v>#N/A</v>
      </c>
      <c r="M67" s="180" t="e">
        <f>INDEX(方位係数!$B$13:$J$21,MATCH($E67,方位係数!$A$13:$A$21,0),MATCH($D$4,方位係数!$B$12:$J$12))</f>
        <v>#N/A</v>
      </c>
      <c r="N67" s="180" t="e">
        <f t="shared" si="13"/>
        <v>#N/A</v>
      </c>
      <c r="P67" s="120"/>
      <c r="Q67" s="312"/>
    </row>
    <row r="68" spans="1:17" ht="18" customHeight="1" x14ac:dyDescent="0.15">
      <c r="C68" s="345" t="s">
        <v>83</v>
      </c>
      <c r="D68" s="346"/>
      <c r="E68" s="227" t="s">
        <v>29</v>
      </c>
      <c r="F68" s="178">
        <f>IF($I$4="屋根断熱",0.58,0)</f>
        <v>0</v>
      </c>
      <c r="G68" s="59"/>
      <c r="H68" s="179">
        <v>1</v>
      </c>
      <c r="I68" s="178">
        <f t="shared" si="14"/>
        <v>0</v>
      </c>
      <c r="J68" s="180">
        <f t="shared" si="11"/>
        <v>0</v>
      </c>
      <c r="K68" s="180" t="e">
        <f>INDEX(方位係数!$B$2:$J$10,MATCH($E68,方位係数!$A$2:$A$10,0),MATCH($D$4,方位係数!$B$1:$J$1))</f>
        <v>#N/A</v>
      </c>
      <c r="L68" s="180" t="e">
        <f t="shared" si="12"/>
        <v>#N/A</v>
      </c>
      <c r="M68" s="180" t="e">
        <f>INDEX(方位係数!$B$13:$J$21,MATCH($E68,方位係数!$A$13:$A$21,0),MATCH($D$4,方位係数!$B$12:$J$12))</f>
        <v>#N/A</v>
      </c>
      <c r="N68" s="180" t="e">
        <f t="shared" si="13"/>
        <v>#N/A</v>
      </c>
      <c r="P68" s="120"/>
      <c r="Q68" s="312"/>
    </row>
    <row r="69" spans="1:17" ht="18" customHeight="1" x14ac:dyDescent="0.15">
      <c r="C69" s="345" t="s">
        <v>83</v>
      </c>
      <c r="D69" s="346"/>
      <c r="E69" s="227" t="s">
        <v>27</v>
      </c>
      <c r="F69" s="178">
        <f>IF($I$4="屋根断熱",0.58,0)</f>
        <v>0</v>
      </c>
      <c r="G69" s="59"/>
      <c r="H69" s="179">
        <v>1</v>
      </c>
      <c r="I69" s="178">
        <f t="shared" si="14"/>
        <v>0</v>
      </c>
      <c r="J69" s="180">
        <f t="shared" si="11"/>
        <v>0</v>
      </c>
      <c r="K69" s="180" t="e">
        <f>INDEX(方位係数!$B$2:$J$10,MATCH($E69,方位係数!$A$2:$A$10,0),MATCH($D$4,方位係数!$B$1:$J$1))</f>
        <v>#N/A</v>
      </c>
      <c r="L69" s="180" t="e">
        <f t="shared" si="12"/>
        <v>#N/A</v>
      </c>
      <c r="M69" s="180" t="e">
        <f>INDEX(方位係数!$B$13:$J$21,MATCH($E69,方位係数!$A$13:$A$21,0),MATCH($D$4,方位係数!$B$12:$J$12))</f>
        <v>#N/A</v>
      </c>
      <c r="N69" s="180" t="e">
        <f t="shared" si="13"/>
        <v>#N/A</v>
      </c>
      <c r="P69" s="120"/>
      <c r="Q69" s="312"/>
    </row>
    <row r="70" spans="1:17" ht="18" customHeight="1" x14ac:dyDescent="0.15">
      <c r="C70" s="345" t="s">
        <v>85</v>
      </c>
      <c r="D70" s="346"/>
      <c r="E70" s="227" t="s">
        <v>26</v>
      </c>
      <c r="F70" s="178">
        <f>IF($I$4="屋根断熱",0.21,0)</f>
        <v>0</v>
      </c>
      <c r="G70" s="59"/>
      <c r="H70" s="179">
        <v>1</v>
      </c>
      <c r="I70" s="178">
        <f t="shared" si="14"/>
        <v>0</v>
      </c>
      <c r="J70" s="180">
        <f t="shared" si="11"/>
        <v>0</v>
      </c>
      <c r="K70" s="180" t="e">
        <f>INDEX(方位係数!$B$2:$J$10,MATCH($E70,方位係数!$A$2:$A$10,0),MATCH($D$4,方位係数!$B$1:$J$1))</f>
        <v>#N/A</v>
      </c>
      <c r="L70" s="180" t="e">
        <f t="shared" si="12"/>
        <v>#N/A</v>
      </c>
      <c r="M70" s="180" t="e">
        <f>INDEX(方位係数!$B$13:$J$21,MATCH($E70,方位係数!$A$13:$A$21,0),MATCH($D$4,方位係数!$B$12:$J$12))</f>
        <v>#N/A</v>
      </c>
      <c r="N70" s="180" t="e">
        <f t="shared" si="13"/>
        <v>#N/A</v>
      </c>
      <c r="P70" s="120"/>
      <c r="Q70" s="312"/>
    </row>
    <row r="71" spans="1:17" ht="18" customHeight="1" thickBot="1" x14ac:dyDescent="0.2">
      <c r="C71" s="406" t="s">
        <v>85</v>
      </c>
      <c r="D71" s="363"/>
      <c r="E71" s="228" t="s">
        <v>28</v>
      </c>
      <c r="F71" s="182">
        <f>IF($I$4="屋根断熱",0.21,0)</f>
        <v>0</v>
      </c>
      <c r="G71" s="60"/>
      <c r="H71" s="183">
        <v>1</v>
      </c>
      <c r="I71" s="182">
        <f t="shared" si="14"/>
        <v>0</v>
      </c>
      <c r="J71" s="185">
        <f t="shared" si="11"/>
        <v>0</v>
      </c>
      <c r="K71" s="185" t="e">
        <f>INDEX(方位係数!$B$2:$J$10,MATCH($E71,方位係数!$A$2:$A$10,0),MATCH($D$4,方位係数!$B$1:$J$1))</f>
        <v>#N/A</v>
      </c>
      <c r="L71" s="185" t="e">
        <f t="shared" si="12"/>
        <v>#N/A</v>
      </c>
      <c r="M71" s="185" t="e">
        <f>INDEX(方位係数!$B$13:$J$21,MATCH($E71,方位係数!$A$13:$A$21,0),MATCH($D$4,方位係数!$B$12:$J$12))</f>
        <v>#N/A</v>
      </c>
      <c r="N71" s="185" t="e">
        <f t="shared" si="13"/>
        <v>#N/A</v>
      </c>
      <c r="P71" s="120"/>
      <c r="Q71" s="313"/>
    </row>
    <row r="72" spans="1:17" ht="18" customHeight="1" thickTop="1" x14ac:dyDescent="0.15">
      <c r="D72" s="349" t="s">
        <v>39</v>
      </c>
      <c r="E72" s="350"/>
      <c r="F72" s="186">
        <f>SUM(F62:F71)</f>
        <v>0</v>
      </c>
      <c r="G72" s="167"/>
      <c r="H72" s="187" t="s">
        <v>195</v>
      </c>
      <c r="I72" s="186">
        <f>SUM(I62:I71)</f>
        <v>0</v>
      </c>
      <c r="J72" s="188"/>
      <c r="K72" s="187" t="s">
        <v>197</v>
      </c>
      <c r="L72" s="189" t="e">
        <f>SUM(L62:L71)</f>
        <v>#N/A</v>
      </c>
      <c r="M72" s="187" t="s">
        <v>196</v>
      </c>
      <c r="N72" s="189" t="e">
        <f>SUM(N62:N71)</f>
        <v>#N/A</v>
      </c>
    </row>
    <row r="73" spans="1:17" ht="12" customHeight="1" x14ac:dyDescent="0.15"/>
    <row r="74" spans="1:17" x14ac:dyDescent="0.15">
      <c r="C74" s="122" t="s">
        <v>414</v>
      </c>
    </row>
    <row r="75" spans="1:17" s="4" customFormat="1" ht="66" customHeight="1" thickBot="1" x14ac:dyDescent="0.2">
      <c r="A75" s="171"/>
      <c r="B75" s="146"/>
      <c r="C75" s="147" t="s">
        <v>40</v>
      </c>
      <c r="D75" s="147" t="s">
        <v>22</v>
      </c>
      <c r="E75" s="125" t="s">
        <v>186</v>
      </c>
      <c r="F75" s="125" t="s">
        <v>226</v>
      </c>
      <c r="G75" s="125" t="s">
        <v>23</v>
      </c>
      <c r="H75" s="147" t="s">
        <v>24</v>
      </c>
      <c r="I75" s="125" t="s">
        <v>289</v>
      </c>
      <c r="J75" s="125" t="s">
        <v>188</v>
      </c>
      <c r="K75" s="125" t="s">
        <v>381</v>
      </c>
      <c r="L75" s="125" t="s">
        <v>187</v>
      </c>
      <c r="M75" s="125" t="s">
        <v>382</v>
      </c>
      <c r="N75" s="172"/>
      <c r="O75" s="172"/>
      <c r="P75" s="122"/>
      <c r="Q75" s="121"/>
    </row>
    <row r="76" spans="1:17" ht="18.75" customHeight="1" thickTop="1" x14ac:dyDescent="0.15">
      <c r="C76" s="229" t="s">
        <v>52</v>
      </c>
      <c r="D76" s="197" t="s">
        <v>27</v>
      </c>
      <c r="E76" s="198">
        <v>1.89</v>
      </c>
      <c r="F76" s="78"/>
      <c r="G76" s="199">
        <v>1</v>
      </c>
      <c r="H76" s="198">
        <f>E76*F76*G76</f>
        <v>0</v>
      </c>
      <c r="I76" s="200">
        <f>F76*0.034</f>
        <v>0</v>
      </c>
      <c r="J76" s="200" t="e">
        <f>INDEX(方位係数!$B$2:$J$10,MATCH($D76,方位係数!$A$2:$A$10,0),MATCH($D$4,方位係数!$B$1:$J$1))</f>
        <v>#N/A</v>
      </c>
      <c r="K76" s="200" t="e">
        <f>$J76*$E76*$I76</f>
        <v>#N/A</v>
      </c>
      <c r="L76" s="200" t="e">
        <f>INDEX(方位係数!$B$13:$J$21,MATCH($D76,方位係数!$A$13:$A$21,0),MATCH($D$4,方位係数!$B$12:$J$12))</f>
        <v>#N/A</v>
      </c>
      <c r="M76" s="200" t="e">
        <f>$L76*$E76*$I76</f>
        <v>#N/A</v>
      </c>
      <c r="P76" s="309" t="s">
        <v>213</v>
      </c>
      <c r="Q76" s="311" t="s">
        <v>426</v>
      </c>
    </row>
    <row r="77" spans="1:17" ht="18.75" customHeight="1" thickBot="1" x14ac:dyDescent="0.2">
      <c r="C77" s="230" t="s">
        <v>215</v>
      </c>
      <c r="D77" s="181" t="s">
        <v>28</v>
      </c>
      <c r="E77" s="182" t="e">
        <f>IF(INT(LEFT($D$4,1))&lt;4,1.35,1.62)</f>
        <v>#VALUE!</v>
      </c>
      <c r="F77" s="79"/>
      <c r="G77" s="183">
        <v>1</v>
      </c>
      <c r="H77" s="182" t="e">
        <f t="shared" ref="H77" si="15">E77*F77*G77</f>
        <v>#VALUE!</v>
      </c>
      <c r="I77" s="185">
        <f>F77*0.034</f>
        <v>0</v>
      </c>
      <c r="J77" s="185" t="e">
        <f>INDEX(方位係数!$B$2:$J$10,MATCH($D77,方位係数!$A$2:$A$10,0),MATCH($D$4,方位係数!$B$1:$J$1))</f>
        <v>#N/A</v>
      </c>
      <c r="K77" s="185" t="e">
        <f>$J77*$E77*$I77</f>
        <v>#N/A</v>
      </c>
      <c r="L77" s="185" t="e">
        <f>INDEX(方位係数!$B$13:$J$21,MATCH($D77,方位係数!$A$13:$A$21,0),MATCH($D$4,方位係数!$B$12:$J$12))</f>
        <v>#N/A</v>
      </c>
      <c r="M77" s="185" t="e">
        <f>$L77*$E77*$I77</f>
        <v>#N/A</v>
      </c>
      <c r="P77" s="309"/>
      <c r="Q77" s="312"/>
    </row>
    <row r="78" spans="1:17" ht="18.75" customHeight="1" thickTop="1" thickBot="1" x14ac:dyDescent="0.2">
      <c r="C78" s="400" t="s">
        <v>53</v>
      </c>
      <c r="D78" s="400"/>
      <c r="E78" s="186" t="e">
        <f>SUM(E76:E77)</f>
        <v>#VALUE!</v>
      </c>
      <c r="F78" s="167"/>
      <c r="G78" s="187" t="s">
        <v>54</v>
      </c>
      <c r="H78" s="186" t="e">
        <f>SUM(H76:H77)</f>
        <v>#VALUE!</v>
      </c>
      <c r="I78" s="167"/>
      <c r="J78" s="187" t="s">
        <v>203</v>
      </c>
      <c r="K78" s="189" t="e">
        <f>SUM(K76:K77)</f>
        <v>#N/A</v>
      </c>
      <c r="L78" s="187" t="s">
        <v>202</v>
      </c>
      <c r="M78" s="189" t="e">
        <f>SUM(M76:M77)</f>
        <v>#N/A</v>
      </c>
      <c r="P78" s="309"/>
      <c r="Q78" s="313"/>
    </row>
    <row r="79" spans="1:17" ht="9.75" customHeight="1" thickTop="1" x14ac:dyDescent="0.15">
      <c r="C79" s="127"/>
      <c r="P79" s="309"/>
    </row>
    <row r="80" spans="1:17" ht="18" customHeight="1" x14ac:dyDescent="0.15">
      <c r="C80" s="119" t="s">
        <v>86</v>
      </c>
      <c r="P80" s="156"/>
    </row>
    <row r="81" spans="1:17" s="4" customFormat="1" ht="66" customHeight="1" thickBot="1" x14ac:dyDescent="0.2">
      <c r="A81" s="171"/>
      <c r="B81" s="146"/>
      <c r="C81" s="147" t="s">
        <v>40</v>
      </c>
      <c r="D81" s="147" t="s">
        <v>22</v>
      </c>
      <c r="E81" s="125" t="s">
        <v>186</v>
      </c>
      <c r="F81" s="125" t="s">
        <v>226</v>
      </c>
      <c r="G81" s="125" t="s">
        <v>23</v>
      </c>
      <c r="H81" s="147" t="s">
        <v>24</v>
      </c>
      <c r="I81" s="125" t="s">
        <v>289</v>
      </c>
      <c r="J81" s="125" t="s">
        <v>290</v>
      </c>
      <c r="K81" s="125" t="s">
        <v>188</v>
      </c>
      <c r="L81" s="125" t="s">
        <v>379</v>
      </c>
      <c r="M81" s="125" t="s">
        <v>291</v>
      </c>
      <c r="N81" s="125" t="s">
        <v>187</v>
      </c>
      <c r="O81" s="125" t="s">
        <v>380</v>
      </c>
      <c r="P81" s="122"/>
      <c r="Q81" s="121"/>
    </row>
    <row r="82" spans="1:17" ht="18.75" customHeight="1" thickTop="1" x14ac:dyDescent="0.15">
      <c r="C82" s="231" t="s">
        <v>41</v>
      </c>
      <c r="D82" s="173" t="s">
        <v>26</v>
      </c>
      <c r="E82" s="232" t="e">
        <f>IF(INT(LEFT($D$4,1))&lt;4,2.15,4.59)</f>
        <v>#VALUE!</v>
      </c>
      <c r="F82" s="63"/>
      <c r="G82" s="233">
        <v>1</v>
      </c>
      <c r="H82" s="232" t="e">
        <f t="shared" ref="H82:H97" si="16">E82*F82*G82</f>
        <v>#VALUE!</v>
      </c>
      <c r="I82" s="58"/>
      <c r="J82" s="232">
        <v>0.51</v>
      </c>
      <c r="K82" s="234" t="e">
        <f>INDEX(方位係数!$B$2:$J$10,MATCH($D82,方位係数!$A$2:$A$10,0),MATCH($D$4,方位係数!$B$1:$J$1))</f>
        <v>#N/A</v>
      </c>
      <c r="L82" s="234" t="e">
        <f t="shared" ref="L82:L98" si="17">$I82*$K82*$J82*$E82</f>
        <v>#N/A</v>
      </c>
      <c r="M82" s="232">
        <v>0.93</v>
      </c>
      <c r="N82" s="234" t="e">
        <f>INDEX(方位係数!$B$13:$J$21,MATCH($D82,方位係数!$A$13:$A$21,0),MATCH($D$4,方位係数!$B$12:$J$12))</f>
        <v>#N/A</v>
      </c>
      <c r="O82" s="234" t="e">
        <f t="shared" ref="O82:O98" si="18">$I82*$N82*$M82*$E82</f>
        <v>#N/A</v>
      </c>
      <c r="P82" s="309" t="s">
        <v>213</v>
      </c>
      <c r="Q82" s="311" t="s">
        <v>442</v>
      </c>
    </row>
    <row r="83" spans="1:17" ht="18.75" customHeight="1" x14ac:dyDescent="0.15">
      <c r="C83" s="235" t="s">
        <v>198</v>
      </c>
      <c r="D83" s="177" t="s">
        <v>26</v>
      </c>
      <c r="E83" s="236" t="e">
        <f>IF(INT(LEFT($D$4,1))&lt;4,2.97,3.47)</f>
        <v>#VALUE!</v>
      </c>
      <c r="F83" s="64"/>
      <c r="G83" s="237">
        <v>1</v>
      </c>
      <c r="H83" s="236" t="e">
        <f t="shared" si="16"/>
        <v>#VALUE!</v>
      </c>
      <c r="I83" s="59"/>
      <c r="J83" s="236">
        <v>0.51</v>
      </c>
      <c r="K83" s="238" t="e">
        <f>INDEX(方位係数!$B$2:$J$10,MATCH($D83,方位係数!$A$2:$A$10,0),MATCH($D$4,方位係数!$B$1:$J$1))</f>
        <v>#N/A</v>
      </c>
      <c r="L83" s="238" t="e">
        <f t="shared" si="17"/>
        <v>#N/A</v>
      </c>
      <c r="M83" s="236">
        <v>0.93</v>
      </c>
      <c r="N83" s="238" t="e">
        <f>INDEX(方位係数!$B$13:$J$21,MATCH($D83,方位係数!$A$13:$A$21,0),MATCH($D$4,方位係数!$B$12:$J$12))</f>
        <v>#N/A</v>
      </c>
      <c r="O83" s="238" t="e">
        <f t="shared" si="18"/>
        <v>#N/A</v>
      </c>
      <c r="P83" s="309"/>
      <c r="Q83" s="312"/>
    </row>
    <row r="84" spans="1:17" ht="18.75" customHeight="1" x14ac:dyDescent="0.15">
      <c r="C84" s="235" t="s">
        <v>198</v>
      </c>
      <c r="D84" s="177" t="s">
        <v>26</v>
      </c>
      <c r="E84" s="236" t="e">
        <f>IF(INT(LEFT($D$4,1))&lt;4,2.15,3.47)</f>
        <v>#VALUE!</v>
      </c>
      <c r="F84" s="64"/>
      <c r="G84" s="237">
        <v>1</v>
      </c>
      <c r="H84" s="236" t="e">
        <f t="shared" si="16"/>
        <v>#VALUE!</v>
      </c>
      <c r="I84" s="59"/>
      <c r="J84" s="236">
        <v>0.51</v>
      </c>
      <c r="K84" s="238" t="e">
        <f>INDEX(方位係数!$B$2:$J$10,MATCH($D84,方位係数!$A$2:$A$10,0),MATCH($D$4,方位係数!$B$1:$J$1))</f>
        <v>#N/A</v>
      </c>
      <c r="L84" s="238" t="e">
        <f t="shared" si="17"/>
        <v>#N/A</v>
      </c>
      <c r="M84" s="236">
        <v>0.93</v>
      </c>
      <c r="N84" s="238" t="e">
        <f>INDEX(方位係数!$B$13:$J$21,MATCH($D84,方位係数!$A$13:$A$21,0),MATCH($D$4,方位係数!$B$12:$J$12))</f>
        <v>#N/A</v>
      </c>
      <c r="O84" s="238" t="e">
        <f t="shared" si="18"/>
        <v>#N/A</v>
      </c>
      <c r="P84" s="309"/>
      <c r="Q84" s="312"/>
    </row>
    <row r="85" spans="1:17" ht="18.75" customHeight="1" x14ac:dyDescent="0.15">
      <c r="C85" s="235" t="s">
        <v>198</v>
      </c>
      <c r="D85" s="177" t="s">
        <v>29</v>
      </c>
      <c r="E85" s="236">
        <v>2.15</v>
      </c>
      <c r="F85" s="64"/>
      <c r="G85" s="237">
        <v>1</v>
      </c>
      <c r="H85" s="236">
        <f t="shared" si="16"/>
        <v>0</v>
      </c>
      <c r="I85" s="59"/>
      <c r="J85" s="236">
        <v>0.51</v>
      </c>
      <c r="K85" s="238" t="e">
        <f>INDEX(方位係数!$B$2:$J$10,MATCH($D85,方位係数!$A$2:$A$10,0),MATCH($D$4,方位係数!$B$1:$J$1))</f>
        <v>#N/A</v>
      </c>
      <c r="L85" s="238" t="e">
        <f t="shared" si="17"/>
        <v>#N/A</v>
      </c>
      <c r="M85" s="236">
        <v>0.93</v>
      </c>
      <c r="N85" s="238" t="e">
        <f>INDEX(方位係数!$B$13:$J$21,MATCH($D85,方位係数!$A$13:$A$21,0),MATCH($D$4,方位係数!$B$12:$J$12))</f>
        <v>#N/A</v>
      </c>
      <c r="O85" s="238" t="e">
        <f t="shared" si="18"/>
        <v>#N/A</v>
      </c>
      <c r="P85" s="309"/>
      <c r="Q85" s="312"/>
    </row>
    <row r="86" spans="1:17" ht="18.75" customHeight="1" x14ac:dyDescent="0.15">
      <c r="C86" s="235" t="s">
        <v>42</v>
      </c>
      <c r="D86" s="177" t="s">
        <v>29</v>
      </c>
      <c r="E86" s="236" t="e">
        <f>IF(INT(LEFT($D$4,1))&lt;4,0.6,0.98)</f>
        <v>#VALUE!</v>
      </c>
      <c r="F86" s="64"/>
      <c r="G86" s="237">
        <v>1</v>
      </c>
      <c r="H86" s="236" t="e">
        <f t="shared" si="16"/>
        <v>#VALUE!</v>
      </c>
      <c r="I86" s="59"/>
      <c r="J86" s="236">
        <v>0.51</v>
      </c>
      <c r="K86" s="238" t="e">
        <f>INDEX(方位係数!$B$2:$J$10,MATCH($D86,方位係数!$A$2:$A$10,0),MATCH($D$4,方位係数!$B$1:$J$1))</f>
        <v>#N/A</v>
      </c>
      <c r="L86" s="238" t="e">
        <f t="shared" si="17"/>
        <v>#N/A</v>
      </c>
      <c r="M86" s="236">
        <v>0.93</v>
      </c>
      <c r="N86" s="238" t="e">
        <f>INDEX(方位係数!$B$13:$J$21,MATCH($D86,方位係数!$A$13:$A$21,0),MATCH($D$4,方位係数!$B$12:$J$12))</f>
        <v>#N/A</v>
      </c>
      <c r="O86" s="238" t="e">
        <f t="shared" si="18"/>
        <v>#N/A</v>
      </c>
      <c r="Q86" s="312"/>
    </row>
    <row r="87" spans="1:17" ht="18.75" customHeight="1" x14ac:dyDescent="0.15">
      <c r="C87" s="235" t="s">
        <v>43</v>
      </c>
      <c r="D87" s="177" t="s">
        <v>27</v>
      </c>
      <c r="E87" s="236" t="e">
        <f>IF(INT(LEFT($D$4,1))&lt;4,0.35,0.54)</f>
        <v>#VALUE!</v>
      </c>
      <c r="F87" s="64"/>
      <c r="G87" s="237">
        <v>1</v>
      </c>
      <c r="H87" s="236" t="e">
        <f>E87*F87*G87</f>
        <v>#VALUE!</v>
      </c>
      <c r="I87" s="59"/>
      <c r="J87" s="236">
        <v>0.51</v>
      </c>
      <c r="K87" s="238" t="e">
        <f>INDEX(方位係数!$B$2:$J$10,MATCH($D87,方位係数!$A$2:$A$10,0),MATCH($D$4,方位係数!$B$1:$J$1))</f>
        <v>#N/A</v>
      </c>
      <c r="L87" s="238" t="e">
        <f t="shared" si="17"/>
        <v>#N/A</v>
      </c>
      <c r="M87" s="236">
        <v>0.93</v>
      </c>
      <c r="N87" s="238" t="e">
        <f>INDEX(方位係数!$B$13:$J$21,MATCH($D87,方位係数!$A$13:$A$21,0),MATCH($D$4,方位係数!$B$12:$J$12))</f>
        <v>#N/A</v>
      </c>
      <c r="O87" s="238" t="e">
        <f t="shared" si="18"/>
        <v>#N/A</v>
      </c>
      <c r="Q87" s="312"/>
    </row>
    <row r="88" spans="1:17" ht="18.75" customHeight="1" thickBot="1" x14ac:dyDescent="0.2">
      <c r="C88" s="235" t="s">
        <v>44</v>
      </c>
      <c r="D88" s="177" t="s">
        <v>28</v>
      </c>
      <c r="E88" s="236" t="e">
        <f>IF(INT(LEFT($D$4,1))&lt;4,0.35,0.54)</f>
        <v>#VALUE!</v>
      </c>
      <c r="F88" s="64"/>
      <c r="G88" s="237">
        <v>1</v>
      </c>
      <c r="H88" s="236" t="e">
        <f t="shared" si="16"/>
        <v>#VALUE!</v>
      </c>
      <c r="I88" s="59"/>
      <c r="J88" s="236">
        <v>0.51</v>
      </c>
      <c r="K88" s="238" t="e">
        <f>INDEX(方位係数!$B$2:$J$10,MATCH($D88,方位係数!$A$2:$A$10,0),MATCH($D$4,方位係数!$B$1:$J$1))</f>
        <v>#N/A</v>
      </c>
      <c r="L88" s="238" t="e">
        <f t="shared" si="17"/>
        <v>#N/A</v>
      </c>
      <c r="M88" s="236">
        <v>0.93</v>
      </c>
      <c r="N88" s="238" t="e">
        <f>INDEX(方位係数!$B$13:$J$21,MATCH($D88,方位係数!$A$13:$A$21,0),MATCH($D$4,方位係数!$B$12:$J$12))</f>
        <v>#N/A</v>
      </c>
      <c r="O88" s="238" t="e">
        <f t="shared" si="18"/>
        <v>#N/A</v>
      </c>
      <c r="Q88" s="313"/>
    </row>
    <row r="89" spans="1:17" ht="18.75" customHeight="1" thickTop="1" x14ac:dyDescent="0.15">
      <c r="C89" s="235" t="s">
        <v>45</v>
      </c>
      <c r="D89" s="177" t="s">
        <v>28</v>
      </c>
      <c r="E89" s="236" t="e">
        <f>IF(INT(LEFT($D$4,1))&lt;4,0.35,0.54)</f>
        <v>#VALUE!</v>
      </c>
      <c r="F89" s="64"/>
      <c r="G89" s="237">
        <v>1</v>
      </c>
      <c r="H89" s="236" t="e">
        <f t="shared" si="16"/>
        <v>#VALUE!</v>
      </c>
      <c r="I89" s="59"/>
      <c r="J89" s="236">
        <v>0.51</v>
      </c>
      <c r="K89" s="238" t="e">
        <f>INDEX(方位係数!$B$2:$J$10,MATCH($D89,方位係数!$A$2:$A$10,0),MATCH($D$4,方位係数!$B$1:$J$1))</f>
        <v>#N/A</v>
      </c>
      <c r="L89" s="238" t="e">
        <f t="shared" si="17"/>
        <v>#N/A</v>
      </c>
      <c r="M89" s="236">
        <v>0.93</v>
      </c>
      <c r="N89" s="238" t="e">
        <f>INDEX(方位係数!$B$13:$J$21,MATCH($D89,方位係数!$A$13:$A$21,0),MATCH($D$4,方位係数!$B$12:$J$12))</f>
        <v>#N/A</v>
      </c>
      <c r="O89" s="238" t="e">
        <f t="shared" si="18"/>
        <v>#N/A</v>
      </c>
    </row>
    <row r="90" spans="1:17" ht="18.75" customHeight="1" x14ac:dyDescent="0.15">
      <c r="C90" s="235" t="s">
        <v>46</v>
      </c>
      <c r="D90" s="177" t="s">
        <v>28</v>
      </c>
      <c r="E90" s="236" t="e">
        <f>IF(INT(LEFT($D$4,1))&lt;4,0.35,0.54)</f>
        <v>#VALUE!</v>
      </c>
      <c r="F90" s="64"/>
      <c r="G90" s="237">
        <v>1</v>
      </c>
      <c r="H90" s="236" t="e">
        <f t="shared" si="16"/>
        <v>#VALUE!</v>
      </c>
      <c r="I90" s="59"/>
      <c r="J90" s="236">
        <v>0.51</v>
      </c>
      <c r="K90" s="238" t="e">
        <f>INDEX(方位係数!$B$2:$J$10,MATCH($D90,方位係数!$A$2:$A$10,0),MATCH($D$4,方位係数!$B$1:$J$1))</f>
        <v>#N/A</v>
      </c>
      <c r="L90" s="238" t="e">
        <f t="shared" si="17"/>
        <v>#N/A</v>
      </c>
      <c r="M90" s="236">
        <v>0.93</v>
      </c>
      <c r="N90" s="238" t="e">
        <f>INDEX(方位係数!$B$13:$J$21,MATCH($D90,方位係数!$A$13:$A$21,0),MATCH($D$4,方位係数!$B$12:$J$12))</f>
        <v>#N/A</v>
      </c>
      <c r="O90" s="238" t="e">
        <f t="shared" si="18"/>
        <v>#N/A</v>
      </c>
    </row>
    <row r="91" spans="1:17" ht="31.5" customHeight="1" x14ac:dyDescent="0.15">
      <c r="C91" s="239" t="s">
        <v>87</v>
      </c>
      <c r="D91" s="177" t="s">
        <v>27</v>
      </c>
      <c r="E91" s="236" t="e">
        <f>IF(INT(LEFT($D$4,1))&lt;4,0,0.54)</f>
        <v>#VALUE!</v>
      </c>
      <c r="F91" s="64"/>
      <c r="G91" s="237">
        <v>1</v>
      </c>
      <c r="H91" s="236" t="e">
        <f t="shared" si="16"/>
        <v>#VALUE!</v>
      </c>
      <c r="I91" s="59"/>
      <c r="J91" s="236">
        <v>0.51</v>
      </c>
      <c r="K91" s="238" t="e">
        <f>INDEX(方位係数!$B$2:$J$10,MATCH($D91,方位係数!$A$2:$A$10,0),MATCH($D$4,方位係数!$B$1:$J$1))</f>
        <v>#N/A</v>
      </c>
      <c r="L91" s="238" t="e">
        <f t="shared" si="17"/>
        <v>#N/A</v>
      </c>
      <c r="M91" s="236">
        <v>0.93</v>
      </c>
      <c r="N91" s="238" t="e">
        <f>INDEX(方位係数!$B$13:$J$21,MATCH($D91,方位係数!$A$13:$A$21,0),MATCH($D$4,方位係数!$B$12:$J$12))</f>
        <v>#N/A</v>
      </c>
      <c r="O91" s="238" t="e">
        <f t="shared" si="18"/>
        <v>#N/A</v>
      </c>
    </row>
    <row r="92" spans="1:17" ht="18.75" customHeight="1" x14ac:dyDescent="0.15">
      <c r="C92" s="235" t="s">
        <v>47</v>
      </c>
      <c r="D92" s="177" t="s">
        <v>27</v>
      </c>
      <c r="E92" s="236" t="e">
        <f>IF(INT(LEFT($D$4,1))&lt;4,1.31,1.73)</f>
        <v>#VALUE!</v>
      </c>
      <c r="F92" s="64"/>
      <c r="G92" s="237">
        <v>1</v>
      </c>
      <c r="H92" s="236" t="e">
        <f t="shared" si="16"/>
        <v>#VALUE!</v>
      </c>
      <c r="I92" s="59"/>
      <c r="J92" s="236">
        <v>0.51</v>
      </c>
      <c r="K92" s="238" t="e">
        <f>INDEX(方位係数!$B$2:$J$10,MATCH($D92,方位係数!$A$2:$A$10,0),MATCH($D$4,方位係数!$B$1:$J$1))</f>
        <v>#N/A</v>
      </c>
      <c r="L92" s="238" t="e">
        <f t="shared" si="17"/>
        <v>#N/A</v>
      </c>
      <c r="M92" s="236">
        <v>0.93</v>
      </c>
      <c r="N92" s="238" t="e">
        <f>INDEX(方位係数!$B$13:$J$21,MATCH($D92,方位係数!$A$13:$A$21,0),MATCH($D$4,方位係数!$B$12:$J$12))</f>
        <v>#N/A</v>
      </c>
      <c r="O92" s="238" t="e">
        <f t="shared" si="18"/>
        <v>#N/A</v>
      </c>
      <c r="P92" s="120"/>
    </row>
    <row r="93" spans="1:17" ht="18.75" customHeight="1" x14ac:dyDescent="0.15">
      <c r="C93" s="235" t="s">
        <v>47</v>
      </c>
      <c r="D93" s="177" t="s">
        <v>26</v>
      </c>
      <c r="E93" s="236" t="e">
        <f>IF(INT(LEFT($D$4,1))&lt;4,1.82,0.99)</f>
        <v>#VALUE!</v>
      </c>
      <c r="F93" s="64"/>
      <c r="G93" s="237">
        <v>1</v>
      </c>
      <c r="H93" s="236" t="e">
        <f t="shared" si="16"/>
        <v>#VALUE!</v>
      </c>
      <c r="I93" s="59"/>
      <c r="J93" s="236">
        <v>0.51</v>
      </c>
      <c r="K93" s="238" t="e">
        <f>INDEX(方位係数!$B$2:$J$10,MATCH($D93,方位係数!$A$2:$A$10,0),MATCH($D$4,方位係数!$B$1:$J$1))</f>
        <v>#N/A</v>
      </c>
      <c r="L93" s="238" t="e">
        <f t="shared" si="17"/>
        <v>#N/A</v>
      </c>
      <c r="M93" s="236">
        <v>0.93</v>
      </c>
      <c r="N93" s="238" t="e">
        <f>INDEX(方位係数!$B$13:$J$21,MATCH($D93,方位係数!$A$13:$A$21,0),MATCH($D$4,方位係数!$B$12:$J$12))</f>
        <v>#N/A</v>
      </c>
      <c r="O93" s="238" t="e">
        <f t="shared" si="18"/>
        <v>#N/A</v>
      </c>
      <c r="P93" s="120"/>
    </row>
    <row r="94" spans="1:17" ht="18.75" customHeight="1" x14ac:dyDescent="0.15">
      <c r="C94" s="235" t="s">
        <v>48</v>
      </c>
      <c r="D94" s="177" t="s">
        <v>26</v>
      </c>
      <c r="E94" s="236" t="e">
        <f>IF(INT(LEFT($D$4,1))&lt;4,2.97,3.22)</f>
        <v>#VALUE!</v>
      </c>
      <c r="F94" s="64"/>
      <c r="G94" s="237">
        <v>1</v>
      </c>
      <c r="H94" s="236" t="e">
        <f t="shared" si="16"/>
        <v>#VALUE!</v>
      </c>
      <c r="I94" s="59"/>
      <c r="J94" s="236">
        <v>0.51</v>
      </c>
      <c r="K94" s="238" t="e">
        <f>INDEX(方位係数!$B$2:$J$10,MATCH($D94,方位係数!$A$2:$A$10,0),MATCH($D$4,方位係数!$B$1:$J$1))</f>
        <v>#N/A</v>
      </c>
      <c r="L94" s="238" t="e">
        <f t="shared" si="17"/>
        <v>#N/A</v>
      </c>
      <c r="M94" s="236">
        <v>0.93</v>
      </c>
      <c r="N94" s="238" t="e">
        <f>INDEX(方位係数!$B$13:$J$21,MATCH($D94,方位係数!$A$13:$A$21,0),MATCH($D$4,方位係数!$B$12:$J$12))</f>
        <v>#N/A</v>
      </c>
      <c r="O94" s="238" t="e">
        <f t="shared" si="18"/>
        <v>#N/A</v>
      </c>
      <c r="P94" s="120"/>
    </row>
    <row r="95" spans="1:17" ht="18.75" customHeight="1" x14ac:dyDescent="0.15">
      <c r="C95" s="235" t="s">
        <v>49</v>
      </c>
      <c r="D95" s="177" t="s">
        <v>26</v>
      </c>
      <c r="E95" s="236" t="e">
        <f>IF(INT(LEFT($D$4,1))&lt;4,2.97,3.22)</f>
        <v>#VALUE!</v>
      </c>
      <c r="F95" s="64"/>
      <c r="G95" s="237">
        <v>1</v>
      </c>
      <c r="H95" s="236" t="e">
        <f t="shared" si="16"/>
        <v>#VALUE!</v>
      </c>
      <c r="I95" s="59"/>
      <c r="J95" s="236">
        <v>0.51</v>
      </c>
      <c r="K95" s="238" t="e">
        <f>INDEX(方位係数!$B$2:$J$10,MATCH($D95,方位係数!$A$2:$A$10,0),MATCH($D$4,方位係数!$B$1:$J$1))</f>
        <v>#N/A</v>
      </c>
      <c r="L95" s="238" t="e">
        <f t="shared" si="17"/>
        <v>#N/A</v>
      </c>
      <c r="M95" s="236">
        <v>0.93</v>
      </c>
      <c r="N95" s="238" t="e">
        <f>INDEX(方位係数!$B$13:$J$21,MATCH($D95,方位係数!$A$13:$A$21,0),MATCH($D$4,方位係数!$B$12:$J$12))</f>
        <v>#N/A</v>
      </c>
      <c r="O95" s="238" t="e">
        <f t="shared" si="18"/>
        <v>#N/A</v>
      </c>
      <c r="P95" s="120"/>
    </row>
    <row r="96" spans="1:17" ht="18.75" customHeight="1" x14ac:dyDescent="0.15">
      <c r="C96" s="235" t="s">
        <v>49</v>
      </c>
      <c r="D96" s="177" t="s">
        <v>29</v>
      </c>
      <c r="E96" s="236" t="e">
        <f>IF(INT(LEFT($D$4,1))&lt;4,0.35,0.66)</f>
        <v>#VALUE!</v>
      </c>
      <c r="F96" s="64"/>
      <c r="G96" s="237">
        <v>1</v>
      </c>
      <c r="H96" s="236" t="e">
        <f t="shared" si="16"/>
        <v>#VALUE!</v>
      </c>
      <c r="I96" s="59"/>
      <c r="J96" s="236">
        <v>0.51</v>
      </c>
      <c r="K96" s="238" t="e">
        <f>INDEX(方位係数!$B$2:$J$10,MATCH($D96,方位係数!$A$2:$A$10,0),MATCH($D$4,方位係数!$B$1:$J$1))</f>
        <v>#N/A</v>
      </c>
      <c r="L96" s="238" t="e">
        <f t="shared" si="17"/>
        <v>#N/A</v>
      </c>
      <c r="M96" s="236">
        <v>0.93</v>
      </c>
      <c r="N96" s="238" t="e">
        <f>INDEX(方位係数!$B$13:$J$21,MATCH($D96,方位係数!$A$13:$A$21,0),MATCH($D$4,方位係数!$B$12:$J$12))</f>
        <v>#N/A</v>
      </c>
      <c r="O96" s="238" t="e">
        <f t="shared" si="18"/>
        <v>#N/A</v>
      </c>
      <c r="P96" s="120"/>
    </row>
    <row r="97" spans="1:17" ht="18.75" customHeight="1" x14ac:dyDescent="0.15">
      <c r="C97" s="235" t="s">
        <v>50</v>
      </c>
      <c r="D97" s="177" t="s">
        <v>28</v>
      </c>
      <c r="E97" s="236" t="e">
        <f>IF(INT(LEFT($D$4,1))&lt;4,0.84,0.99)</f>
        <v>#VALUE!</v>
      </c>
      <c r="F97" s="64"/>
      <c r="G97" s="237">
        <v>1</v>
      </c>
      <c r="H97" s="236" t="e">
        <f t="shared" si="16"/>
        <v>#VALUE!</v>
      </c>
      <c r="I97" s="59"/>
      <c r="J97" s="236">
        <v>0.51</v>
      </c>
      <c r="K97" s="238" t="e">
        <f>INDEX(方位係数!$B$2:$J$10,MATCH($D97,方位係数!$A$2:$A$10,0),MATCH($D$4,方位係数!$B$1:$J$1))</f>
        <v>#N/A</v>
      </c>
      <c r="L97" s="238" t="e">
        <f t="shared" si="17"/>
        <v>#N/A</v>
      </c>
      <c r="M97" s="236">
        <v>0.93</v>
      </c>
      <c r="N97" s="238" t="e">
        <f>INDEX(方位係数!$B$13:$J$21,MATCH($D97,方位係数!$A$13:$A$21,0),MATCH($D$4,方位係数!$B$12:$J$12))</f>
        <v>#N/A</v>
      </c>
      <c r="O97" s="238" t="e">
        <f t="shared" si="18"/>
        <v>#N/A</v>
      </c>
    </row>
    <row r="98" spans="1:17" ht="18.75" customHeight="1" thickBot="1" x14ac:dyDescent="0.2">
      <c r="C98" s="230" t="s">
        <v>44</v>
      </c>
      <c r="D98" s="181" t="s">
        <v>28</v>
      </c>
      <c r="E98" s="240" t="e">
        <f>IF(INT(LEFT($D$4,1))&lt;4,0.35,0.54)</f>
        <v>#VALUE!</v>
      </c>
      <c r="F98" s="65"/>
      <c r="G98" s="241">
        <v>1</v>
      </c>
      <c r="H98" s="240" t="e">
        <f>E98*F98*G98</f>
        <v>#VALUE!</v>
      </c>
      <c r="I98" s="60"/>
      <c r="J98" s="240">
        <v>0.51</v>
      </c>
      <c r="K98" s="242" t="e">
        <f>INDEX(方位係数!$B$2:$J$10,MATCH($D98,方位係数!$A$2:$A$10,0),MATCH($D$4,方位係数!$B$1:$J$1))</f>
        <v>#N/A</v>
      </c>
      <c r="L98" s="242" t="e">
        <f t="shared" si="17"/>
        <v>#N/A</v>
      </c>
      <c r="M98" s="240">
        <v>0.93</v>
      </c>
      <c r="N98" s="242" t="e">
        <f>INDEX(方位係数!$B$13:$J$21,MATCH($D98,方位係数!$A$13:$A$21,0),MATCH($D$4,方位係数!$B$12:$J$12))</f>
        <v>#N/A</v>
      </c>
      <c r="O98" s="242" t="e">
        <f t="shared" si="18"/>
        <v>#N/A</v>
      </c>
    </row>
    <row r="99" spans="1:17" ht="18.75" customHeight="1" thickTop="1" x14ac:dyDescent="0.15">
      <c r="C99" s="400" t="s">
        <v>51</v>
      </c>
      <c r="D99" s="400"/>
      <c r="E99" s="243" t="e">
        <f>SUM(E82:E98)</f>
        <v>#VALUE!</v>
      </c>
      <c r="F99" s="167"/>
      <c r="G99" s="187" t="s">
        <v>199</v>
      </c>
      <c r="H99" s="243" t="e">
        <f>SUM(H82:H98)</f>
        <v>#VALUE!</v>
      </c>
      <c r="I99" s="167"/>
      <c r="J99" s="167"/>
      <c r="K99" s="187" t="s">
        <v>201</v>
      </c>
      <c r="L99" s="244" t="e">
        <f>SUM(L82:L98)</f>
        <v>#N/A</v>
      </c>
      <c r="M99" s="188"/>
      <c r="N99" s="187" t="s">
        <v>200</v>
      </c>
      <c r="O99" s="244" t="e">
        <f>SUM(O82:O98)</f>
        <v>#N/A</v>
      </c>
    </row>
    <row r="100" spans="1:17" x14ac:dyDescent="0.15">
      <c r="C100" s="127" t="s">
        <v>383</v>
      </c>
    </row>
    <row r="101" spans="1:17" x14ac:dyDescent="0.15">
      <c r="C101" s="127" t="s">
        <v>384</v>
      </c>
    </row>
    <row r="103" spans="1:17" x14ac:dyDescent="0.15">
      <c r="B103" s="119" t="s">
        <v>55</v>
      </c>
    </row>
    <row r="104" spans="1:17" ht="17.25" customHeight="1" x14ac:dyDescent="0.15">
      <c r="C104" s="379" t="s">
        <v>21</v>
      </c>
      <c r="D104" s="379"/>
      <c r="E104" s="379"/>
      <c r="F104" s="374" t="s">
        <v>56</v>
      </c>
      <c r="G104" s="375"/>
      <c r="H104" s="374" t="s">
        <v>57</v>
      </c>
      <c r="I104" s="375"/>
      <c r="J104" s="374" t="s">
        <v>58</v>
      </c>
      <c r="K104" s="375"/>
      <c r="L104" s="374" t="s">
        <v>59</v>
      </c>
      <c r="M104" s="375"/>
    </row>
    <row r="105" spans="1:17" x14ac:dyDescent="0.15">
      <c r="C105" s="376" t="s">
        <v>60</v>
      </c>
      <c r="D105" s="377"/>
      <c r="E105" s="378"/>
      <c r="F105" s="245" t="s">
        <v>204</v>
      </c>
      <c r="G105" s="208" t="e">
        <f>$F$21</f>
        <v>#VALUE!</v>
      </c>
      <c r="H105" s="245" t="s">
        <v>61</v>
      </c>
      <c r="I105" s="186" t="e">
        <f>$I$21</f>
        <v>#VALUE!</v>
      </c>
      <c r="J105" s="245" t="s">
        <v>374</v>
      </c>
      <c r="K105" s="246" t="e">
        <f>$N$21</f>
        <v>#N/A</v>
      </c>
      <c r="L105" s="245" t="s">
        <v>205</v>
      </c>
      <c r="M105" s="189" t="e">
        <f>$L$21</f>
        <v>#N/A</v>
      </c>
    </row>
    <row r="106" spans="1:17" s="1" customFormat="1" ht="19.5" thickBot="1" x14ac:dyDescent="0.2">
      <c r="A106" s="119"/>
      <c r="B106" s="119"/>
      <c r="C106" s="376" t="str">
        <f>IF($N$4="床断熱","床・基礎壁・土間外周","基礎壁・土間外周")</f>
        <v>基礎壁・土間外周</v>
      </c>
      <c r="D106" s="377"/>
      <c r="E106" s="378"/>
      <c r="F106" s="192" t="str">
        <f>IF($N$4="床断熱","A2","A3")</f>
        <v>A3</v>
      </c>
      <c r="G106" s="194">
        <f>IF($N$4="床断熱",$F$34,$F$49)</f>
        <v>0</v>
      </c>
      <c r="H106" s="192" t="s">
        <v>420</v>
      </c>
      <c r="I106" s="186">
        <f>IF($N$4="床断熱",$I$34+$I40,$I$49+$I$52)</f>
        <v>0</v>
      </c>
      <c r="J106" s="245" t="s">
        <v>421</v>
      </c>
      <c r="K106" s="246" t="e">
        <f>IF($N$4="床断熱",$N$34,$N$49)</f>
        <v>#N/A</v>
      </c>
      <c r="L106" s="245" t="s">
        <v>422</v>
      </c>
      <c r="M106" s="246" t="e">
        <f>IF($N$4="床断熱",$L$34,$L$49)</f>
        <v>#N/A</v>
      </c>
      <c r="N106" s="247"/>
      <c r="O106" s="247"/>
      <c r="P106" s="122"/>
      <c r="Q106" s="247"/>
    </row>
    <row r="107" spans="1:17" s="1" customFormat="1" ht="19.5" thickTop="1" x14ac:dyDescent="0.15">
      <c r="A107" s="119"/>
      <c r="B107" s="119"/>
      <c r="C107" s="376" t="str">
        <f>IF($I$4="天井断熱","天井","屋根・妻壁")</f>
        <v>屋根・妻壁</v>
      </c>
      <c r="D107" s="377"/>
      <c r="E107" s="378"/>
      <c r="F107" s="192" t="str">
        <f>IF($I$4="天井断熱","A4","A5")</f>
        <v>A5</v>
      </c>
      <c r="G107" s="194">
        <f>IF($I$4="天井断熱",$F$58,$F$72)</f>
        <v>0</v>
      </c>
      <c r="H107" s="192" t="str">
        <f>IF($I$4="天井断熱","q4","q5")</f>
        <v>q5</v>
      </c>
      <c r="I107" s="186">
        <f>IF($I$4="天井断熱",$I$58,$I$72)</f>
        <v>0</v>
      </c>
      <c r="J107" s="192" t="str">
        <f>IF($I$4="天井断熱","mc4","mc5")</f>
        <v>mc5</v>
      </c>
      <c r="K107" s="189" t="e">
        <f>IF($I$4="天井断熱",$N$58,$N$72)</f>
        <v>#N/A</v>
      </c>
      <c r="L107" s="192" t="str">
        <f>IF($I$4="天井断熱","mH4","mH5")</f>
        <v>mH5</v>
      </c>
      <c r="M107" s="189" t="e">
        <f>IF($I$4="天井断熱",$L$58,$L$72)</f>
        <v>#N/A</v>
      </c>
      <c r="N107" s="247"/>
      <c r="O107" s="247"/>
      <c r="P107" s="122"/>
      <c r="Q107" s="311" t="s">
        <v>522</v>
      </c>
    </row>
    <row r="108" spans="1:17" s="1" customFormat="1" x14ac:dyDescent="0.15">
      <c r="A108" s="119"/>
      <c r="B108" s="119"/>
      <c r="C108" s="376" t="s">
        <v>62</v>
      </c>
      <c r="D108" s="377"/>
      <c r="E108" s="378"/>
      <c r="F108" s="245" t="s">
        <v>63</v>
      </c>
      <c r="G108" s="186" t="e">
        <f>$E$99</f>
        <v>#VALUE!</v>
      </c>
      <c r="H108" s="245" t="s">
        <v>64</v>
      </c>
      <c r="I108" s="186" t="e">
        <f>$H$99</f>
        <v>#VALUE!</v>
      </c>
      <c r="J108" s="245" t="s">
        <v>206</v>
      </c>
      <c r="K108" s="189" t="e">
        <f>$O$99</f>
        <v>#N/A</v>
      </c>
      <c r="L108" s="245" t="s">
        <v>207</v>
      </c>
      <c r="M108" s="189" t="e">
        <f>$L$99</f>
        <v>#N/A</v>
      </c>
      <c r="N108" s="247"/>
      <c r="O108" s="247"/>
      <c r="P108" s="122"/>
      <c r="Q108" s="312"/>
    </row>
    <row r="109" spans="1:17" s="1" customFormat="1" ht="19.5" thickBot="1" x14ac:dyDescent="0.2">
      <c r="A109" s="119"/>
      <c r="B109" s="119"/>
      <c r="C109" s="397" t="s">
        <v>65</v>
      </c>
      <c r="D109" s="398"/>
      <c r="E109" s="399"/>
      <c r="F109" s="248" t="s">
        <v>208</v>
      </c>
      <c r="G109" s="218" t="e">
        <f>$E$78</f>
        <v>#VALUE!</v>
      </c>
      <c r="H109" s="248" t="s">
        <v>209</v>
      </c>
      <c r="I109" s="218" t="e">
        <f>$H$78</f>
        <v>#VALUE!</v>
      </c>
      <c r="J109" s="248" t="s">
        <v>210</v>
      </c>
      <c r="K109" s="249" t="e">
        <f>$M$78</f>
        <v>#N/A</v>
      </c>
      <c r="L109" s="248" t="s">
        <v>211</v>
      </c>
      <c r="M109" s="249" t="e">
        <f>$K$78</f>
        <v>#N/A</v>
      </c>
      <c r="N109" s="247"/>
      <c r="O109" s="247"/>
      <c r="P109" s="122"/>
      <c r="Q109" s="312"/>
    </row>
    <row r="110" spans="1:17" s="1" customFormat="1" ht="18" thickTop="1" thickBot="1" x14ac:dyDescent="0.2">
      <c r="A110" s="119"/>
      <c r="B110" s="119"/>
      <c r="C110" s="167"/>
      <c r="D110" s="167"/>
      <c r="E110" s="247"/>
      <c r="F110" s="247"/>
      <c r="G110" s="247"/>
      <c r="H110" s="250" t="s">
        <v>212</v>
      </c>
      <c r="I110" s="208" t="e">
        <f>SUM(I105:I109)</f>
        <v>#VALUE!</v>
      </c>
      <c r="J110" s="251" t="s">
        <v>216</v>
      </c>
      <c r="K110" s="252" t="e">
        <f>SUM(K105:K109)</f>
        <v>#N/A</v>
      </c>
      <c r="L110" s="251" t="s">
        <v>217</v>
      </c>
      <c r="M110" s="252" t="e">
        <f>SUM(M105:M109)</f>
        <v>#N/A</v>
      </c>
      <c r="N110" s="247"/>
      <c r="O110" s="247"/>
      <c r="P110" s="247"/>
      <c r="Q110" s="312"/>
    </row>
    <row r="111" spans="1:17" s="1" customFormat="1" ht="27" customHeight="1" thickTop="1" x14ac:dyDescent="0.15">
      <c r="A111" s="119"/>
      <c r="B111" s="119"/>
      <c r="C111" s="386" t="s">
        <v>375</v>
      </c>
      <c r="D111" s="387"/>
      <c r="E111" s="394" t="s">
        <v>327</v>
      </c>
      <c r="F111" s="395"/>
      <c r="G111" s="382" t="e">
        <f>SUM(G105:G109)</f>
        <v>#VALUE!</v>
      </c>
      <c r="H111" s="380" t="s">
        <v>324</v>
      </c>
      <c r="I111" s="382" t="e">
        <f>ROUNDUP(I110/$G$111,2)</f>
        <v>#VALUE!</v>
      </c>
      <c r="J111" s="392" t="s">
        <v>326</v>
      </c>
      <c r="K111" s="390" t="e">
        <f>ROUNDUP(K110/$G$111*100,1)</f>
        <v>#N/A</v>
      </c>
      <c r="L111" s="380" t="s">
        <v>325</v>
      </c>
      <c r="M111" s="390" t="e">
        <f>ROUNDDOWN(M110/$G$111*100,1)</f>
        <v>#N/A</v>
      </c>
      <c r="N111" s="384"/>
      <c r="O111" s="385"/>
      <c r="P111" s="373" t="s">
        <v>178</v>
      </c>
      <c r="Q111" s="312"/>
    </row>
    <row r="112" spans="1:17" s="1" customFormat="1" ht="27" customHeight="1" thickBot="1" x14ac:dyDescent="0.2">
      <c r="A112" s="119"/>
      <c r="B112" s="119"/>
      <c r="C112" s="388"/>
      <c r="D112" s="389"/>
      <c r="E112" s="393"/>
      <c r="F112" s="396"/>
      <c r="G112" s="383"/>
      <c r="H112" s="381"/>
      <c r="I112" s="383"/>
      <c r="J112" s="393"/>
      <c r="K112" s="391"/>
      <c r="L112" s="381"/>
      <c r="M112" s="391"/>
      <c r="N112" s="384"/>
      <c r="O112" s="385"/>
      <c r="P112" s="373"/>
      <c r="Q112" s="313"/>
    </row>
    <row r="113" ht="6" customHeight="1" x14ac:dyDescent="0.15"/>
    <row r="142" spans="3:4" hidden="1" x14ac:dyDescent="0.15">
      <c r="C142" s="119" t="str">
        <f>IF(COUNTIF($D$4,"*地域"),"good","Error")</f>
        <v>Error</v>
      </c>
      <c r="D142" s="119" t="s">
        <v>335</v>
      </c>
    </row>
    <row r="143" spans="3:4" hidden="1" x14ac:dyDescent="0.15">
      <c r="C143" s="119" t="str">
        <f>IF(COUNTIF($I$4,"*断熱"),"good","Error")</f>
        <v>Error</v>
      </c>
      <c r="D143" s="119" t="s">
        <v>336</v>
      </c>
    </row>
    <row r="144" spans="3:4" hidden="1" x14ac:dyDescent="0.15">
      <c r="C144" s="119" t="str">
        <f>IF(COUNTIF($N$4,"*断熱"),"good","Error")</f>
        <v>Error</v>
      </c>
      <c r="D144" s="119" t="s">
        <v>337</v>
      </c>
    </row>
    <row r="145" spans="3:16" hidden="1" x14ac:dyDescent="0.15">
      <c r="C145" s="119" t="str">
        <f>IF(COUNTBLANK($G$9:$G$20)&gt;0,"Error","")</f>
        <v>Error</v>
      </c>
      <c r="D145" s="119" t="s">
        <v>305</v>
      </c>
    </row>
    <row r="146" spans="3:16" hidden="1" x14ac:dyDescent="0.15">
      <c r="C146" s="119" t="str">
        <f>IF(AND($N$4="床断熱",G26=""),"Error","")</f>
        <v/>
      </c>
      <c r="D146" s="119" t="s">
        <v>392</v>
      </c>
    </row>
    <row r="147" spans="3:16" hidden="1" x14ac:dyDescent="0.15">
      <c r="C147" s="119" t="str">
        <f>IF(AND($N$4="床断熱",COUNTBLANK(G$28:G$33)&gt;0),"Error","")</f>
        <v/>
      </c>
      <c r="D147" s="119" t="s">
        <v>393</v>
      </c>
    </row>
    <row r="148" spans="3:16" hidden="1" x14ac:dyDescent="0.15">
      <c r="C148" s="119" t="str">
        <f>IF(AND($N$4="基礎断熱",G51=""),"Error","")</f>
        <v/>
      </c>
      <c r="D148" s="119" t="s">
        <v>394</v>
      </c>
    </row>
    <row r="149" spans="3:16" hidden="1" x14ac:dyDescent="0.15">
      <c r="C149" s="119" t="str">
        <f>IF(AND($I$4="天井断熱",COUNTBLANK(G$56:G$57)&gt;0),"Error","")</f>
        <v/>
      </c>
      <c r="D149" s="119" t="s">
        <v>395</v>
      </c>
    </row>
    <row r="150" spans="3:16" hidden="1" x14ac:dyDescent="0.15">
      <c r="C150" s="119" t="str">
        <f>IF(AND($I$4="屋根断熱",COUNTBLANK(G$62:G$64)&gt;0),"Error","")</f>
        <v/>
      </c>
      <c r="D150" s="119" t="s">
        <v>306</v>
      </c>
    </row>
    <row r="151" spans="3:16" hidden="1" x14ac:dyDescent="0.15">
      <c r="C151" s="119" t="str">
        <f>IF(AND($I$4="屋根断熱",COUNTBLANK(G$66:G$71)&gt;0),"Error","")</f>
        <v/>
      </c>
      <c r="D151" s="119" t="s">
        <v>307</v>
      </c>
    </row>
    <row r="152" spans="3:16" hidden="1" x14ac:dyDescent="0.15">
      <c r="C152" s="119" t="str">
        <f>IF(AND(OR($D$4="1地域",$D$4="2地域",$D$4="3地域"),OR(COUNTBLANK(F$82:F$90)&gt;0,COUNTBLANK(F$92:F$98)&gt;0)),"Error","")</f>
        <v/>
      </c>
      <c r="D152" s="119" t="s">
        <v>396</v>
      </c>
    </row>
    <row r="153" spans="3:16" hidden="1" x14ac:dyDescent="0.15">
      <c r="C153" s="119" t="str">
        <f>IF(AND(OR($D$4="4地域",$D$4="5地域",$D$4="6地域",$D$4="7地域",$D$4="8地域"),COUNTBLANK(F$82:F$98)&gt;0),"Error","")</f>
        <v/>
      </c>
      <c r="D153" s="119" t="s">
        <v>396</v>
      </c>
    </row>
    <row r="154" spans="3:16" hidden="1" x14ac:dyDescent="0.15">
      <c r="C154" s="119" t="str">
        <f>IF(AND(OR($D$4="1地域",$D$4="2地域",$D$4="3地域"),OR(COUNTBLANK(I$82:I$90)&gt;0,COUNTBLANK(I$92:I$98)&gt;0)),"Error","")</f>
        <v/>
      </c>
      <c r="D154" s="119" t="s">
        <v>397</v>
      </c>
    </row>
    <row r="155" spans="3:16" hidden="1" x14ac:dyDescent="0.15">
      <c r="C155" s="119" t="str">
        <f>IF(AND(OR($D$4="4地域",$D$4="5地域",$D$4="6地域",$D$4="7地域",$D$4="8地域"),COUNTBLANK(I$82:I$98)&gt;0),"Error","")</f>
        <v/>
      </c>
      <c r="D155" s="119" t="s">
        <v>397</v>
      </c>
    </row>
    <row r="156" spans="3:16" ht="24.75" hidden="1" x14ac:dyDescent="0.15">
      <c r="C156" s="119" t="str">
        <f>IF(COUNTBLANK(F76:F77)&gt;0,"Error","")</f>
        <v>Error</v>
      </c>
      <c r="D156" s="119" t="s">
        <v>398</v>
      </c>
      <c r="P156" s="118"/>
    </row>
    <row r="157" spans="3:16" x14ac:dyDescent="0.15">
      <c r="C157" s="253"/>
      <c r="D157" s="253"/>
    </row>
    <row r="158" spans="3:16" x14ac:dyDescent="0.15">
      <c r="C158" s="253"/>
      <c r="D158" s="253"/>
    </row>
  </sheetData>
  <sheetProtection algorithmName="SHA-512" hashValue="6We9R9BaAH3ibrXAd1ycGEiGKQxRgmoo7RMgbqleQMepzA0ackWZ8x43K4ihCmuKKCxz/9SLdZO30D+fGAbZaw==" saltValue="Am1MuAmjTuU+TMWEHGNEaw==" spinCount="100000" sheet="1" objects="1" scenarios="1"/>
  <mergeCells count="104">
    <mergeCell ref="Q107:Q112"/>
    <mergeCell ref="C108:E108"/>
    <mergeCell ref="C109:E109"/>
    <mergeCell ref="C111:D112"/>
    <mergeCell ref="E111:F112"/>
    <mergeCell ref="G111:G112"/>
    <mergeCell ref="H111:H112"/>
    <mergeCell ref="C99:D99"/>
    <mergeCell ref="C104:E104"/>
    <mergeCell ref="F104:G104"/>
    <mergeCell ref="H104:I104"/>
    <mergeCell ref="J104:K104"/>
    <mergeCell ref="L104:M104"/>
    <mergeCell ref="P111:P112"/>
    <mergeCell ref="I111:I112"/>
    <mergeCell ref="J111:J112"/>
    <mergeCell ref="K111:K112"/>
    <mergeCell ref="L111:L112"/>
    <mergeCell ref="M111:M112"/>
    <mergeCell ref="N111:O112"/>
    <mergeCell ref="C105:E105"/>
    <mergeCell ref="C106:E106"/>
    <mergeCell ref="C107:E107"/>
    <mergeCell ref="C71:D71"/>
    <mergeCell ref="D72:E72"/>
    <mergeCell ref="P76:P79"/>
    <mergeCell ref="Q76:Q78"/>
    <mergeCell ref="C78:D78"/>
    <mergeCell ref="P82:P85"/>
    <mergeCell ref="Q82:Q88"/>
    <mergeCell ref="C61:D61"/>
    <mergeCell ref="C62:D62"/>
    <mergeCell ref="Q62:Q71"/>
    <mergeCell ref="C63:D63"/>
    <mergeCell ref="C64:D64"/>
    <mergeCell ref="C66:D66"/>
    <mergeCell ref="C67:D67"/>
    <mergeCell ref="C68:D68"/>
    <mergeCell ref="C69:D69"/>
    <mergeCell ref="C70:D70"/>
    <mergeCell ref="C56:E56"/>
    <mergeCell ref="P56:P57"/>
    <mergeCell ref="Q56:Q57"/>
    <mergeCell ref="C57:E57"/>
    <mergeCell ref="D58:E58"/>
    <mergeCell ref="P59:P60"/>
    <mergeCell ref="D49:E49"/>
    <mergeCell ref="C50:E50"/>
    <mergeCell ref="Q50:Q53"/>
    <mergeCell ref="C51:E51"/>
    <mergeCell ref="P51:P52"/>
    <mergeCell ref="C55:E55"/>
    <mergeCell ref="C44:E44"/>
    <mergeCell ref="C45:D45"/>
    <mergeCell ref="Q45:Q48"/>
    <mergeCell ref="C46:D46"/>
    <mergeCell ref="C47:D47"/>
    <mergeCell ref="C48:D48"/>
    <mergeCell ref="D34:E34"/>
    <mergeCell ref="C35:E35"/>
    <mergeCell ref="C36:E36"/>
    <mergeCell ref="Q36:Q40"/>
    <mergeCell ref="C37:E37"/>
    <mergeCell ref="C38:E38"/>
    <mergeCell ref="C39:E39"/>
    <mergeCell ref="Q26:Q33"/>
    <mergeCell ref="C28:D28"/>
    <mergeCell ref="C29:D29"/>
    <mergeCell ref="C30:D30"/>
    <mergeCell ref="C31:D31"/>
    <mergeCell ref="C32:D32"/>
    <mergeCell ref="C33:D33"/>
    <mergeCell ref="C20:D20"/>
    <mergeCell ref="D21:E21"/>
    <mergeCell ref="P22:P25"/>
    <mergeCell ref="C25:D25"/>
    <mergeCell ref="C26:D26"/>
    <mergeCell ref="P26:P33"/>
    <mergeCell ref="P9:P20"/>
    <mergeCell ref="Q9:Q20"/>
    <mergeCell ref="C14:D14"/>
    <mergeCell ref="C15:D15"/>
    <mergeCell ref="C16:D16"/>
    <mergeCell ref="C17:D17"/>
    <mergeCell ref="C18:D18"/>
    <mergeCell ref="C19:D19"/>
    <mergeCell ref="C9:D9"/>
    <mergeCell ref="C10:D10"/>
    <mergeCell ref="C11:D11"/>
    <mergeCell ref="C12:D12"/>
    <mergeCell ref="C13:D13"/>
    <mergeCell ref="A1:J1"/>
    <mergeCell ref="N1:O1"/>
    <mergeCell ref="B3:C3"/>
    <mergeCell ref="D3:O3"/>
    <mergeCell ref="Q3:Q5"/>
    <mergeCell ref="B4:C4"/>
    <mergeCell ref="D4:E4"/>
    <mergeCell ref="F4:H4"/>
    <mergeCell ref="I4:J4"/>
    <mergeCell ref="K4:M4"/>
    <mergeCell ref="N4:O4"/>
    <mergeCell ref="B5:O5"/>
    <mergeCell ref="C8:D8"/>
  </mergeCells>
  <phoneticPr fontId="2"/>
  <conditionalFormatting sqref="G26 G28:G33">
    <cfRule type="expression" dxfId="23" priority="5">
      <formula>($N$4="基礎断熱")</formula>
    </cfRule>
  </conditionalFormatting>
  <conditionalFormatting sqref="G26">
    <cfRule type="expression" dxfId="22" priority="8">
      <formula>(N4="基礎断熱")</formula>
    </cfRule>
  </conditionalFormatting>
  <conditionalFormatting sqref="G36">
    <cfRule type="expression" dxfId="21" priority="4">
      <formula>(N14="基礎断熱")</formula>
    </cfRule>
  </conditionalFormatting>
  <conditionalFormatting sqref="G36:G39">
    <cfRule type="expression" dxfId="20" priority="3">
      <formula>($N$4="基礎断熱")</formula>
    </cfRule>
  </conditionalFormatting>
  <conditionalFormatting sqref="G45:G48">
    <cfRule type="expression" dxfId="19" priority="1">
      <formula>($N$4="床断熱")</formula>
    </cfRule>
  </conditionalFormatting>
  <conditionalFormatting sqref="G51">
    <cfRule type="expression" dxfId="18" priority="2">
      <formula>($N$4="床断熱")</formula>
    </cfRule>
  </conditionalFormatting>
  <conditionalFormatting sqref="G56:G57">
    <cfRule type="expression" dxfId="17" priority="7">
      <formula>($I$4="屋根断熱")</formula>
    </cfRule>
  </conditionalFormatting>
  <conditionalFormatting sqref="G62:G64 G66:G71">
    <cfRule type="expression" dxfId="16" priority="6">
      <formula>($I$4="天井断熱")</formula>
    </cfRule>
  </conditionalFormatting>
  <dataValidations count="3">
    <dataValidation type="list" allowBlank="1" showInputMessage="1" showErrorMessage="1" sqref="D4:E4" xr:uid="{0D802BCE-CF9E-4790-A7CD-D0FBC777FB2A}">
      <formula1>"1地域,2地域,3地域,4地域,5地域,6地域,7地域,8地域,（選択して下さい）"</formula1>
    </dataValidation>
    <dataValidation type="list" allowBlank="1" showInputMessage="1" showErrorMessage="1" sqref="I4:J4" xr:uid="{A793A48C-4506-4054-8D29-D579D0E82E51}">
      <formula1>"屋根断熱,天井断熱,（選択して下さい）"</formula1>
    </dataValidation>
    <dataValidation type="list" allowBlank="1" showInputMessage="1" showErrorMessage="1" sqref="N4:O4" xr:uid="{58F09F77-C3F1-4FEA-9264-E7A6993A441B}">
      <formula1>"床断熱,基礎断熱,（選択して下さい）"</formula1>
    </dataValidation>
  </dataValidations>
  <pageMargins left="0.35433070866141736" right="0.35433070866141736"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rowBreaks count="1" manualBreakCount="1">
    <brk id="42" max="1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9178A-C9DF-4EAD-84ED-1E059FB62622}">
  <dimension ref="A1:T158"/>
  <sheetViews>
    <sheetView showGridLines="0" workbookViewId="0">
      <selection sqref="A1:J1"/>
    </sheetView>
  </sheetViews>
  <sheetFormatPr defaultRowHeight="18.75" x14ac:dyDescent="0.15"/>
  <cols>
    <col min="1" max="1" width="0.625" style="122" customWidth="1"/>
    <col min="2" max="2" width="0.375" style="119" customWidth="1"/>
    <col min="3" max="3" width="12.5" style="119" customWidth="1"/>
    <col min="4" max="4" width="6" style="119" customWidth="1"/>
    <col min="5" max="5" width="6.25" style="119" customWidth="1"/>
    <col min="6" max="6" width="7.125" style="119" customWidth="1"/>
    <col min="7" max="7" width="7.25" style="119" customWidth="1"/>
    <col min="8" max="8" width="6.875" style="119" customWidth="1"/>
    <col min="9" max="9" width="6.75" style="119" customWidth="1"/>
    <col min="10" max="10" width="7.125" style="119" customWidth="1"/>
    <col min="11" max="14" width="7.5" style="119" customWidth="1"/>
    <col min="15" max="15" width="7.5" style="122" customWidth="1"/>
    <col min="16" max="16" width="2.375" style="122" customWidth="1"/>
    <col min="17" max="17" width="54.5" style="121" customWidth="1"/>
  </cols>
  <sheetData>
    <row r="1" spans="1:20" ht="27" customHeight="1" thickTop="1" thickBot="1" x14ac:dyDescent="0.2">
      <c r="A1" s="317" t="s">
        <v>534</v>
      </c>
      <c r="B1" s="317"/>
      <c r="C1" s="317"/>
      <c r="D1" s="317"/>
      <c r="E1" s="317"/>
      <c r="F1" s="317"/>
      <c r="G1" s="317"/>
      <c r="H1" s="317"/>
      <c r="I1" s="317"/>
      <c r="J1" s="317"/>
      <c r="K1" s="166"/>
      <c r="L1" s="166"/>
      <c r="M1" s="116"/>
      <c r="N1" s="324" t="s">
        <v>439</v>
      </c>
      <c r="O1" s="324"/>
      <c r="P1" s="113"/>
      <c r="Q1" s="117" t="s">
        <v>177</v>
      </c>
      <c r="R1" s="67"/>
      <c r="S1" s="67"/>
      <c r="T1" s="67"/>
    </row>
    <row r="2" spans="1:20" s="3" customFormat="1" ht="3.75" customHeight="1" thickTop="1" thickBot="1" x14ac:dyDescent="0.2">
      <c r="A2" s="118"/>
      <c r="B2" s="122"/>
      <c r="C2" s="167"/>
      <c r="D2" s="167"/>
      <c r="E2" s="167"/>
      <c r="F2" s="167"/>
      <c r="G2" s="167"/>
      <c r="H2" s="167"/>
      <c r="I2" s="167"/>
      <c r="J2" s="167"/>
      <c r="K2" s="167"/>
      <c r="L2" s="167"/>
      <c r="M2" s="167"/>
      <c r="N2" s="167"/>
      <c r="O2" s="167"/>
      <c r="P2" s="118"/>
      <c r="Q2" s="168"/>
    </row>
    <row r="3" spans="1:20" s="2" customFormat="1" ht="18.75" customHeight="1" thickTop="1" x14ac:dyDescent="0.15">
      <c r="A3" s="122"/>
      <c r="B3" s="366" t="s">
        <v>0</v>
      </c>
      <c r="C3" s="367"/>
      <c r="D3" s="336"/>
      <c r="E3" s="336"/>
      <c r="F3" s="336"/>
      <c r="G3" s="336"/>
      <c r="H3" s="336"/>
      <c r="I3" s="336"/>
      <c r="J3" s="336"/>
      <c r="K3" s="336"/>
      <c r="L3" s="336"/>
      <c r="M3" s="336"/>
      <c r="N3" s="336"/>
      <c r="O3" s="336"/>
      <c r="P3" s="118"/>
      <c r="Q3" s="311" t="s">
        <v>525</v>
      </c>
    </row>
    <row r="4" spans="1:20" ht="22.5" customHeight="1" x14ac:dyDescent="0.15">
      <c r="B4" s="368" t="s">
        <v>334</v>
      </c>
      <c r="C4" s="369"/>
      <c r="D4" s="354" t="s">
        <v>430</v>
      </c>
      <c r="E4" s="355"/>
      <c r="F4" s="351" t="s">
        <v>333</v>
      </c>
      <c r="G4" s="352"/>
      <c r="H4" s="353"/>
      <c r="I4" s="354" t="s">
        <v>430</v>
      </c>
      <c r="J4" s="355"/>
      <c r="K4" s="351" t="s">
        <v>332</v>
      </c>
      <c r="L4" s="352"/>
      <c r="M4" s="353"/>
      <c r="N4" s="354" t="s">
        <v>430</v>
      </c>
      <c r="O4" s="355"/>
      <c r="P4" s="120" t="s">
        <v>178</v>
      </c>
      <c r="Q4" s="312"/>
    </row>
    <row r="5" spans="1:20" ht="22.5" customHeight="1" thickBot="1" x14ac:dyDescent="0.2">
      <c r="B5" s="370" t="s">
        <v>524</v>
      </c>
      <c r="C5" s="370"/>
      <c r="D5" s="370"/>
      <c r="E5" s="370"/>
      <c r="F5" s="370"/>
      <c r="G5" s="370"/>
      <c r="H5" s="370"/>
      <c r="I5" s="370"/>
      <c r="J5" s="370"/>
      <c r="K5" s="370"/>
      <c r="L5" s="370"/>
      <c r="M5" s="370"/>
      <c r="N5" s="370"/>
      <c r="O5" s="370"/>
      <c r="P5" s="156"/>
      <c r="Q5" s="313"/>
    </row>
    <row r="6" spans="1:20" ht="3.75" customHeight="1" thickTop="1" x14ac:dyDescent="0.15">
      <c r="B6" s="169"/>
      <c r="C6" s="169"/>
      <c r="D6" s="169"/>
      <c r="E6" s="169"/>
      <c r="F6" s="169"/>
      <c r="G6" s="169"/>
      <c r="H6" s="169"/>
      <c r="I6" s="169"/>
      <c r="J6" s="169"/>
      <c r="K6" s="169"/>
      <c r="L6" s="169"/>
      <c r="M6" s="169"/>
      <c r="N6" s="169"/>
      <c r="O6" s="169"/>
      <c r="P6" s="156"/>
      <c r="Q6" s="170"/>
    </row>
    <row r="7" spans="1:20" s="42" customFormat="1" ht="18.75" customHeight="1" x14ac:dyDescent="0.15">
      <c r="A7" s="119"/>
      <c r="B7" s="119"/>
      <c r="C7" s="122" t="s">
        <v>17</v>
      </c>
      <c r="D7" s="119"/>
      <c r="E7" s="119"/>
      <c r="F7" s="119"/>
      <c r="G7" s="119"/>
      <c r="H7" s="119"/>
      <c r="I7" s="119"/>
      <c r="J7" s="119"/>
      <c r="K7" s="119"/>
      <c r="L7" s="119"/>
      <c r="M7" s="119"/>
      <c r="N7" s="119"/>
      <c r="O7" s="119"/>
      <c r="P7" s="119"/>
      <c r="Q7" s="170"/>
    </row>
    <row r="8" spans="1:20" s="4" customFormat="1" ht="66" customHeight="1" thickBot="1" x14ac:dyDescent="0.2">
      <c r="A8" s="171"/>
      <c r="B8" s="146"/>
      <c r="C8" s="314" t="s">
        <v>21</v>
      </c>
      <c r="D8" s="316"/>
      <c r="E8" s="147" t="s">
        <v>22</v>
      </c>
      <c r="F8" s="125" t="s">
        <v>186</v>
      </c>
      <c r="G8" s="125" t="s">
        <v>415</v>
      </c>
      <c r="H8" s="125" t="s">
        <v>23</v>
      </c>
      <c r="I8" s="147" t="s">
        <v>24</v>
      </c>
      <c r="J8" s="125" t="s">
        <v>287</v>
      </c>
      <c r="K8" s="125" t="s">
        <v>188</v>
      </c>
      <c r="L8" s="125" t="s">
        <v>285</v>
      </c>
      <c r="M8" s="125" t="s">
        <v>187</v>
      </c>
      <c r="N8" s="125" t="s">
        <v>288</v>
      </c>
      <c r="O8" s="172"/>
      <c r="P8" s="118"/>
      <c r="Q8" s="170"/>
    </row>
    <row r="9" spans="1:20" ht="18" customHeight="1" thickTop="1" x14ac:dyDescent="0.15">
      <c r="C9" s="371" t="s">
        <v>25</v>
      </c>
      <c r="D9" s="372"/>
      <c r="E9" s="173" t="s">
        <v>26</v>
      </c>
      <c r="F9" s="174" t="e">
        <f>IF(INT(LEFT($D$4,1))&lt;4,17.86,13.6)</f>
        <v>#VALUE!</v>
      </c>
      <c r="G9" s="58"/>
      <c r="H9" s="175">
        <v>1</v>
      </c>
      <c r="I9" s="174" t="e">
        <f t="shared" ref="I9:I20" si="0">F9*G9*H9</f>
        <v>#VALUE!</v>
      </c>
      <c r="J9" s="176">
        <f t="shared" ref="J9:J20" si="1">G9*0.034</f>
        <v>0</v>
      </c>
      <c r="K9" s="176" t="e">
        <f>INDEX(方位係数!$B$2:$J$10,MATCH($E9,方位係数!$A$2:$A$10,0),MATCH($D$4,方位係数!$B$1:$J$1))</f>
        <v>#N/A</v>
      </c>
      <c r="L9" s="176" t="e">
        <f t="shared" ref="L9:L20" si="2">$K9*$F9*$J9</f>
        <v>#N/A</v>
      </c>
      <c r="M9" s="176" t="e">
        <f>INDEX(方位係数!$B$13:$J$21,MATCH($E9,方位係数!$A$13:$A$21,0),MATCH($D$4,方位係数!$B$12:$J$12))</f>
        <v>#N/A</v>
      </c>
      <c r="N9" s="176" t="e">
        <f t="shared" ref="N9:N20" si="3">$M9*$F9*$J9</f>
        <v>#N/A</v>
      </c>
      <c r="P9" s="309" t="s">
        <v>178</v>
      </c>
      <c r="Q9" s="311" t="s">
        <v>504</v>
      </c>
    </row>
    <row r="10" spans="1:20" ht="18" customHeight="1" x14ac:dyDescent="0.15">
      <c r="C10" s="345" t="s">
        <v>25</v>
      </c>
      <c r="D10" s="346"/>
      <c r="E10" s="177" t="s">
        <v>27</v>
      </c>
      <c r="F10" s="178" t="e">
        <f>IF(INT(LEFT($D$4,1))&lt;4,15.9,15.71)</f>
        <v>#VALUE!</v>
      </c>
      <c r="G10" s="59"/>
      <c r="H10" s="179">
        <v>1</v>
      </c>
      <c r="I10" s="178" t="e">
        <f t="shared" si="0"/>
        <v>#VALUE!</v>
      </c>
      <c r="J10" s="180">
        <f t="shared" si="1"/>
        <v>0</v>
      </c>
      <c r="K10" s="180" t="e">
        <f>INDEX(方位係数!$B$2:$J$10,MATCH($E10,方位係数!$A$2:$A$10,0),MATCH($D$4,方位係数!$B$1:$J$1))</f>
        <v>#N/A</v>
      </c>
      <c r="L10" s="180" t="e">
        <f t="shared" si="2"/>
        <v>#N/A</v>
      </c>
      <c r="M10" s="180" t="e">
        <f>INDEX(方位係数!$B$13:$J$21,MATCH($E10,方位係数!$A$13:$A$21,0),MATCH($D$4,方位係数!$B$12:$J$12))</f>
        <v>#N/A</v>
      </c>
      <c r="N10" s="180" t="e">
        <f t="shared" si="3"/>
        <v>#N/A</v>
      </c>
      <c r="P10" s="309"/>
      <c r="Q10" s="312"/>
    </row>
    <row r="11" spans="1:20" ht="18" customHeight="1" x14ac:dyDescent="0.15">
      <c r="C11" s="345" t="s">
        <v>25</v>
      </c>
      <c r="D11" s="346"/>
      <c r="E11" s="177" t="s">
        <v>28</v>
      </c>
      <c r="F11" s="178" t="e">
        <f>IF(INT(LEFT($D$4,1))&lt;4,22.4,21.56)</f>
        <v>#VALUE!</v>
      </c>
      <c r="G11" s="59"/>
      <c r="H11" s="179">
        <v>1</v>
      </c>
      <c r="I11" s="178" t="e">
        <f t="shared" si="0"/>
        <v>#VALUE!</v>
      </c>
      <c r="J11" s="180">
        <f t="shared" si="1"/>
        <v>0</v>
      </c>
      <c r="K11" s="180" t="e">
        <f>INDEX(方位係数!$B$2:$J$10,MATCH($E11,方位係数!$A$2:$A$10,0),MATCH($D$4,方位係数!$B$1:$J$1))</f>
        <v>#N/A</v>
      </c>
      <c r="L11" s="180" t="e">
        <f t="shared" si="2"/>
        <v>#N/A</v>
      </c>
      <c r="M11" s="180" t="e">
        <f>INDEX(方位係数!$B$13:$J$21,MATCH($E11,方位係数!$A$13:$A$21,0),MATCH($D$4,方位係数!$B$12:$J$12))</f>
        <v>#N/A</v>
      </c>
      <c r="N11" s="180" t="e">
        <f t="shared" si="3"/>
        <v>#N/A</v>
      </c>
      <c r="P11" s="309"/>
      <c r="Q11" s="312"/>
    </row>
    <row r="12" spans="1:20" ht="18" customHeight="1" x14ac:dyDescent="0.15">
      <c r="C12" s="345" t="s">
        <v>25</v>
      </c>
      <c r="D12" s="346"/>
      <c r="E12" s="177" t="s">
        <v>29</v>
      </c>
      <c r="F12" s="178" t="e">
        <f>IF(INT(LEFT($D$4,1))&lt;4,14.45,14.07)</f>
        <v>#VALUE!</v>
      </c>
      <c r="G12" s="59"/>
      <c r="H12" s="179">
        <v>1</v>
      </c>
      <c r="I12" s="178" t="e">
        <f t="shared" si="0"/>
        <v>#VALUE!</v>
      </c>
      <c r="J12" s="180">
        <f t="shared" si="1"/>
        <v>0</v>
      </c>
      <c r="K12" s="180" t="e">
        <f>INDEX(方位係数!$B$2:$J$10,MATCH($E12,方位係数!$A$2:$A$10,0),MATCH($D$4,方位係数!$B$1:$J$1))</f>
        <v>#N/A</v>
      </c>
      <c r="L12" s="180" t="e">
        <f t="shared" si="2"/>
        <v>#N/A</v>
      </c>
      <c r="M12" s="180" t="e">
        <f>INDEX(方位係数!$B$13:$J$21,MATCH($E12,方位係数!$A$13:$A$21,0),MATCH($D$4,方位係数!$B$12:$J$12))</f>
        <v>#N/A</v>
      </c>
      <c r="N12" s="180" t="e">
        <f t="shared" si="3"/>
        <v>#N/A</v>
      </c>
      <c r="P12" s="309"/>
      <c r="Q12" s="312"/>
    </row>
    <row r="13" spans="1:20" ht="18" customHeight="1" x14ac:dyDescent="0.15">
      <c r="C13" s="345" t="s">
        <v>66</v>
      </c>
      <c r="D13" s="346"/>
      <c r="E13" s="177" t="s">
        <v>26</v>
      </c>
      <c r="F13" s="178">
        <v>4.78</v>
      </c>
      <c r="G13" s="59"/>
      <c r="H13" s="179">
        <v>1</v>
      </c>
      <c r="I13" s="178">
        <f t="shared" si="0"/>
        <v>0</v>
      </c>
      <c r="J13" s="180">
        <f t="shared" si="1"/>
        <v>0</v>
      </c>
      <c r="K13" s="180" t="e">
        <f>INDEX(方位係数!$B$2:$J$10,MATCH($E13,方位係数!$A$2:$A$10,0),MATCH($D$4,方位係数!$B$1:$J$1))</f>
        <v>#N/A</v>
      </c>
      <c r="L13" s="180" t="e">
        <f t="shared" si="2"/>
        <v>#N/A</v>
      </c>
      <c r="M13" s="180" t="e">
        <f>INDEX(方位係数!$B$13:$J$21,MATCH($E13,方位係数!$A$13:$A$21,0),MATCH($D$4,方位係数!$B$12:$J$12))</f>
        <v>#N/A</v>
      </c>
      <c r="N13" s="180" t="e">
        <f t="shared" si="3"/>
        <v>#N/A</v>
      </c>
      <c r="P13" s="309"/>
      <c r="Q13" s="312"/>
    </row>
    <row r="14" spans="1:20" ht="18" customHeight="1" x14ac:dyDescent="0.15">
      <c r="C14" s="345" t="s">
        <v>66</v>
      </c>
      <c r="D14" s="346"/>
      <c r="E14" s="177" t="s">
        <v>27</v>
      </c>
      <c r="F14" s="178">
        <v>2.73</v>
      </c>
      <c r="G14" s="59"/>
      <c r="H14" s="179">
        <v>1</v>
      </c>
      <c r="I14" s="178">
        <f t="shared" si="0"/>
        <v>0</v>
      </c>
      <c r="J14" s="180">
        <f t="shared" si="1"/>
        <v>0</v>
      </c>
      <c r="K14" s="180" t="e">
        <f>INDEX(方位係数!$B$2:$J$10,MATCH($E14,方位係数!$A$2:$A$10,0),MATCH($D$4,方位係数!$B$1:$J$1))</f>
        <v>#N/A</v>
      </c>
      <c r="L14" s="180" t="e">
        <f t="shared" si="2"/>
        <v>#N/A</v>
      </c>
      <c r="M14" s="180" t="e">
        <f>INDEX(方位係数!$B$13:$J$21,MATCH($E14,方位係数!$A$13:$A$21,0),MATCH($D$4,方位係数!$B$12:$J$12))</f>
        <v>#N/A</v>
      </c>
      <c r="N14" s="180" t="e">
        <f t="shared" si="3"/>
        <v>#N/A</v>
      </c>
      <c r="P14" s="309"/>
      <c r="Q14" s="312"/>
    </row>
    <row r="15" spans="1:20" ht="18" customHeight="1" x14ac:dyDescent="0.15">
      <c r="C15" s="345" t="s">
        <v>66</v>
      </c>
      <c r="D15" s="346"/>
      <c r="E15" s="177" t="s">
        <v>28</v>
      </c>
      <c r="F15" s="178">
        <v>3.1900000000000004</v>
      </c>
      <c r="G15" s="59"/>
      <c r="H15" s="179">
        <v>1</v>
      </c>
      <c r="I15" s="178">
        <f t="shared" si="0"/>
        <v>0</v>
      </c>
      <c r="J15" s="180">
        <f>G15*0.034</f>
        <v>0</v>
      </c>
      <c r="K15" s="180" t="e">
        <f>INDEX(方位係数!$B$2:$J$10,MATCH($E15,方位係数!$A$2:$A$10,0),MATCH($D$4,方位係数!$B$1:$J$1))</f>
        <v>#N/A</v>
      </c>
      <c r="L15" s="180" t="e">
        <f t="shared" si="2"/>
        <v>#N/A</v>
      </c>
      <c r="M15" s="180" t="e">
        <f>INDEX(方位係数!$B$13:$J$21,MATCH($E15,方位係数!$A$13:$A$21,0),MATCH($D$4,方位係数!$B$12:$J$12))</f>
        <v>#N/A</v>
      </c>
      <c r="N15" s="180" t="e">
        <f t="shared" si="3"/>
        <v>#N/A</v>
      </c>
      <c r="P15" s="309"/>
      <c r="Q15" s="312"/>
    </row>
    <row r="16" spans="1:20" ht="18" customHeight="1" x14ac:dyDescent="0.15">
      <c r="C16" s="345" t="s">
        <v>66</v>
      </c>
      <c r="D16" s="346"/>
      <c r="E16" s="177" t="s">
        <v>29</v>
      </c>
      <c r="F16" s="178">
        <v>2.73</v>
      </c>
      <c r="G16" s="59"/>
      <c r="H16" s="179">
        <v>1</v>
      </c>
      <c r="I16" s="178">
        <f t="shared" si="0"/>
        <v>0</v>
      </c>
      <c r="J16" s="180">
        <f t="shared" si="1"/>
        <v>0</v>
      </c>
      <c r="K16" s="180" t="e">
        <f>INDEX(方位係数!$B$2:$J$10,MATCH($E16,方位係数!$A$2:$A$10,0),MATCH($D$4,方位係数!$B$1:$J$1))</f>
        <v>#N/A</v>
      </c>
      <c r="L16" s="180" t="e">
        <f t="shared" si="2"/>
        <v>#N/A</v>
      </c>
      <c r="M16" s="180" t="e">
        <f>INDEX(方位係数!$B$13:$J$21,MATCH($E16,方位係数!$A$13:$A$21,0),MATCH($D$4,方位係数!$B$12:$J$12))</f>
        <v>#N/A</v>
      </c>
      <c r="N16" s="180" t="e">
        <f t="shared" si="3"/>
        <v>#N/A</v>
      </c>
      <c r="P16" s="309"/>
      <c r="Q16" s="312"/>
    </row>
    <row r="17" spans="1:17" ht="18" customHeight="1" x14ac:dyDescent="0.15">
      <c r="C17" s="345" t="s">
        <v>30</v>
      </c>
      <c r="D17" s="346"/>
      <c r="E17" s="177" t="s">
        <v>26</v>
      </c>
      <c r="F17" s="178" t="e">
        <f>IF(INT(LEFT($D$4,1))&lt;4,14.43,14.76)</f>
        <v>#VALUE!</v>
      </c>
      <c r="G17" s="59"/>
      <c r="H17" s="179">
        <v>1</v>
      </c>
      <c r="I17" s="178" t="e">
        <f t="shared" si="0"/>
        <v>#VALUE!</v>
      </c>
      <c r="J17" s="180">
        <f t="shared" si="1"/>
        <v>0</v>
      </c>
      <c r="K17" s="180" t="e">
        <f>INDEX(方位係数!$B$2:$J$10,MATCH($E17,方位係数!$A$2:$A$10,0),MATCH($D$4,方位係数!$B$1:$J$1))</f>
        <v>#N/A</v>
      </c>
      <c r="L17" s="180" t="e">
        <f t="shared" si="2"/>
        <v>#N/A</v>
      </c>
      <c r="M17" s="180" t="e">
        <f>INDEX(方位係数!$B$13:$J$21,MATCH($E17,方位係数!$A$13:$A$21,0),MATCH($D$4,方位係数!$B$12:$J$12))</f>
        <v>#N/A</v>
      </c>
      <c r="N17" s="180" t="e">
        <f t="shared" si="3"/>
        <v>#N/A</v>
      </c>
      <c r="P17" s="309"/>
      <c r="Q17" s="312"/>
    </row>
    <row r="18" spans="1:17" ht="18" customHeight="1" x14ac:dyDescent="0.15">
      <c r="C18" s="345" t="s">
        <v>30</v>
      </c>
      <c r="D18" s="346"/>
      <c r="E18" s="177" t="s">
        <v>27</v>
      </c>
      <c r="F18" s="178" t="e">
        <f>IF(INT(LEFT($D$4,1))&lt;4,12.54,11.58)</f>
        <v>#VALUE!</v>
      </c>
      <c r="G18" s="59"/>
      <c r="H18" s="179">
        <v>1</v>
      </c>
      <c r="I18" s="178" t="e">
        <f t="shared" si="0"/>
        <v>#VALUE!</v>
      </c>
      <c r="J18" s="180">
        <f t="shared" si="1"/>
        <v>0</v>
      </c>
      <c r="K18" s="180" t="e">
        <f>INDEX(方位係数!$B$2:$J$10,MATCH($E18,方位係数!$A$2:$A$10,0),MATCH($D$4,方位係数!$B$1:$J$1))</f>
        <v>#N/A</v>
      </c>
      <c r="L18" s="180" t="e">
        <f t="shared" si="2"/>
        <v>#N/A</v>
      </c>
      <c r="M18" s="180" t="e">
        <f>INDEX(方位係数!$B$13:$J$21,MATCH($E18,方位係数!$A$13:$A$21,0),MATCH($D$4,方位係数!$B$12:$J$12))</f>
        <v>#N/A</v>
      </c>
      <c r="N18" s="180" t="e">
        <f t="shared" si="3"/>
        <v>#N/A</v>
      </c>
      <c r="P18" s="309"/>
      <c r="Q18" s="312"/>
    </row>
    <row r="19" spans="1:17" ht="18" customHeight="1" x14ac:dyDescent="0.15">
      <c r="C19" s="345" t="s">
        <v>30</v>
      </c>
      <c r="D19" s="346"/>
      <c r="E19" s="177" t="s">
        <v>28</v>
      </c>
      <c r="F19" s="178" t="e">
        <f>IF(INT(LEFT($D$4,1))&lt;4,24.36,24.02)</f>
        <v>#VALUE!</v>
      </c>
      <c r="G19" s="59"/>
      <c r="H19" s="179">
        <v>1</v>
      </c>
      <c r="I19" s="178" t="e">
        <f t="shared" si="0"/>
        <v>#VALUE!</v>
      </c>
      <c r="J19" s="180">
        <f t="shared" si="1"/>
        <v>0</v>
      </c>
      <c r="K19" s="180" t="e">
        <f>INDEX(方位係数!$B$2:$J$10,MATCH($E19,方位係数!$A$2:$A$10,0),MATCH($D$4,方位係数!$B$1:$J$1))</f>
        <v>#N/A</v>
      </c>
      <c r="L19" s="180" t="e">
        <f t="shared" si="2"/>
        <v>#N/A</v>
      </c>
      <c r="M19" s="180" t="e">
        <f>INDEX(方位係数!$B$13:$J$21,MATCH($E19,方位係数!$A$13:$A$21,0),MATCH($D$4,方位係数!$B$12:$J$12))</f>
        <v>#N/A</v>
      </c>
      <c r="N19" s="180" t="e">
        <f t="shared" si="3"/>
        <v>#N/A</v>
      </c>
      <c r="P19" s="309"/>
      <c r="Q19" s="312"/>
    </row>
    <row r="20" spans="1:17" ht="18" customHeight="1" thickBot="1" x14ac:dyDescent="0.2">
      <c r="C20" s="347" t="s">
        <v>30</v>
      </c>
      <c r="D20" s="348"/>
      <c r="E20" s="181" t="s">
        <v>29</v>
      </c>
      <c r="F20" s="182" t="e">
        <f>IF(INT(LEFT($D$4,1))&lt;4,12.75,12.44)</f>
        <v>#VALUE!</v>
      </c>
      <c r="G20" s="70"/>
      <c r="H20" s="183">
        <v>1</v>
      </c>
      <c r="I20" s="182" t="e">
        <f t="shared" si="0"/>
        <v>#VALUE!</v>
      </c>
      <c r="J20" s="184">
        <f t="shared" si="1"/>
        <v>0</v>
      </c>
      <c r="K20" s="185" t="e">
        <f>INDEX(方位係数!$B$2:$J$10,MATCH($E20,方位係数!$A$2:$A$10,0),MATCH($D$4,方位係数!$B$1:$J$1))</f>
        <v>#N/A</v>
      </c>
      <c r="L20" s="185" t="e">
        <f t="shared" si="2"/>
        <v>#N/A</v>
      </c>
      <c r="M20" s="185" t="e">
        <f>INDEX(方位係数!$B$13:$J$21,MATCH($E20,方位係数!$A$13:$A$21,0),MATCH($D$4,方位係数!$B$12:$J$12))</f>
        <v>#N/A</v>
      </c>
      <c r="N20" s="185" t="e">
        <f t="shared" si="3"/>
        <v>#N/A</v>
      </c>
      <c r="P20" s="309"/>
      <c r="Q20" s="313"/>
    </row>
    <row r="21" spans="1:17" ht="18" customHeight="1" thickTop="1" x14ac:dyDescent="0.15">
      <c r="D21" s="349" t="s">
        <v>31</v>
      </c>
      <c r="E21" s="350"/>
      <c r="F21" s="186" t="e">
        <f>SUM(F9:F20)</f>
        <v>#VALUE!</v>
      </c>
      <c r="G21" s="167"/>
      <c r="H21" s="187" t="s">
        <v>32</v>
      </c>
      <c r="I21" s="186" t="e">
        <f>SUM(I9:I20)</f>
        <v>#VALUE!</v>
      </c>
      <c r="J21" s="188"/>
      <c r="K21" s="187" t="s">
        <v>190</v>
      </c>
      <c r="L21" s="189" t="e">
        <f>SUM(L9:L20)</f>
        <v>#N/A</v>
      </c>
      <c r="M21" s="187" t="s">
        <v>189</v>
      </c>
      <c r="N21" s="189" t="e">
        <f>SUM(N9:N20)</f>
        <v>#N/A</v>
      </c>
    </row>
    <row r="22" spans="1:17" ht="18.75" customHeight="1" x14ac:dyDescent="0.15">
      <c r="C22" s="127" t="s">
        <v>378</v>
      </c>
      <c r="P22" s="341"/>
    </row>
    <row r="23" spans="1:17" ht="9" customHeight="1" x14ac:dyDescent="0.15">
      <c r="F23" s="190"/>
      <c r="P23" s="341"/>
    </row>
    <row r="24" spans="1:17" s="42" customFormat="1" ht="18.75" customHeight="1" x14ac:dyDescent="0.15">
      <c r="A24" s="119"/>
      <c r="B24" s="119"/>
      <c r="C24" s="122" t="s">
        <v>505</v>
      </c>
      <c r="D24" s="119"/>
      <c r="E24" s="119"/>
      <c r="F24" s="119"/>
      <c r="G24" s="119"/>
      <c r="H24" s="119"/>
      <c r="I24" s="119"/>
      <c r="J24" s="119"/>
      <c r="K24" s="119"/>
      <c r="L24" s="119"/>
      <c r="M24" s="119"/>
      <c r="N24" s="119"/>
      <c r="O24" s="119"/>
      <c r="P24" s="341"/>
      <c r="Q24" s="121"/>
    </row>
    <row r="25" spans="1:17" s="4" customFormat="1" ht="62.25" customHeight="1" thickBot="1" x14ac:dyDescent="0.2">
      <c r="A25" s="171"/>
      <c r="B25" s="146"/>
      <c r="C25" s="314" t="s">
        <v>417</v>
      </c>
      <c r="D25" s="316"/>
      <c r="E25" s="147" t="s">
        <v>22</v>
      </c>
      <c r="F25" s="125" t="s">
        <v>186</v>
      </c>
      <c r="G25" s="125" t="s">
        <v>415</v>
      </c>
      <c r="H25" s="125" t="s">
        <v>23</v>
      </c>
      <c r="I25" s="125" t="s">
        <v>24</v>
      </c>
      <c r="J25" s="125" t="s">
        <v>287</v>
      </c>
      <c r="K25" s="125" t="s">
        <v>188</v>
      </c>
      <c r="L25" s="125" t="s">
        <v>285</v>
      </c>
      <c r="M25" s="125" t="s">
        <v>187</v>
      </c>
      <c r="N25" s="125" t="s">
        <v>288</v>
      </c>
      <c r="O25" s="146"/>
      <c r="P25" s="341"/>
      <c r="Q25" s="191"/>
    </row>
    <row r="26" spans="1:17" ht="18" customHeight="1" thickTop="1" x14ac:dyDescent="0.15">
      <c r="C26" s="376" t="s">
        <v>229</v>
      </c>
      <c r="D26" s="377"/>
      <c r="E26" s="193"/>
      <c r="F26" s="194">
        <f>IF($N$4="床断熱",62.11,0)</f>
        <v>0</v>
      </c>
      <c r="G26" s="89"/>
      <c r="H26" s="195">
        <v>0.7</v>
      </c>
      <c r="I26" s="194">
        <f>F26*G26*H26</f>
        <v>0</v>
      </c>
      <c r="J26" s="196">
        <f t="shared" ref="J26:J33" si="4">G26*0.034</f>
        <v>0</v>
      </c>
      <c r="K26" s="196">
        <v>0</v>
      </c>
      <c r="L26" s="196">
        <f t="shared" ref="L26:L33" si="5">$K26*$F26*$J26</f>
        <v>0</v>
      </c>
      <c r="M26" s="196">
        <v>0</v>
      </c>
      <c r="N26" s="196">
        <f t="shared" ref="N26:N33" si="6">$M26*$F26*$J26</f>
        <v>0</v>
      </c>
      <c r="O26" s="119"/>
      <c r="P26" s="309" t="s">
        <v>178</v>
      </c>
      <c r="Q26" s="311" t="s">
        <v>428</v>
      </c>
    </row>
    <row r="27" spans="1:17" ht="6" customHeight="1" x14ac:dyDescent="0.15">
      <c r="P27" s="309"/>
      <c r="Q27" s="312"/>
    </row>
    <row r="28" spans="1:17" ht="18" customHeight="1" x14ac:dyDescent="0.15">
      <c r="C28" s="404" t="s">
        <v>400</v>
      </c>
      <c r="D28" s="405"/>
      <c r="E28" s="197" t="s">
        <v>27</v>
      </c>
      <c r="F28" s="198">
        <f>IF($N$4="床断熱",1.82*0.45,0)</f>
        <v>0</v>
      </c>
      <c r="G28" s="62"/>
      <c r="H28" s="199">
        <v>1</v>
      </c>
      <c r="I28" s="198">
        <f t="shared" ref="I28:I33" si="7">F28*G28*H28</f>
        <v>0</v>
      </c>
      <c r="J28" s="200">
        <f t="shared" si="4"/>
        <v>0</v>
      </c>
      <c r="K28" s="200" t="e">
        <f>INDEX(方位係数!$B$2:$J$10,MATCH($E28,方位係数!$A$2:$A$10,0),MATCH($D$4,方位係数!$B$1:$J$1))</f>
        <v>#N/A</v>
      </c>
      <c r="L28" s="200" t="e">
        <f t="shared" si="5"/>
        <v>#N/A</v>
      </c>
      <c r="M28" s="200" t="e">
        <f>INDEX(方位係数!$B$13:$J$21,MATCH($E28,方位係数!$A$13:$A$21,0),MATCH($D$4,方位係数!$B$12:$J$12))</f>
        <v>#N/A</v>
      </c>
      <c r="N28" s="200" t="e">
        <f t="shared" si="6"/>
        <v>#N/A</v>
      </c>
      <c r="O28" s="201"/>
      <c r="P28" s="309"/>
      <c r="Q28" s="312"/>
    </row>
    <row r="29" spans="1:17" ht="18" customHeight="1" x14ac:dyDescent="0.15">
      <c r="C29" s="345" t="s">
        <v>401</v>
      </c>
      <c r="D29" s="361"/>
      <c r="E29" s="177" t="s">
        <v>28</v>
      </c>
      <c r="F29" s="178">
        <f>IF($N$4="床断熱",1.365*0.45,0)</f>
        <v>0</v>
      </c>
      <c r="G29" s="59"/>
      <c r="H29" s="179">
        <v>1</v>
      </c>
      <c r="I29" s="178">
        <f t="shared" si="7"/>
        <v>0</v>
      </c>
      <c r="J29" s="180">
        <f t="shared" si="4"/>
        <v>0</v>
      </c>
      <c r="K29" s="180" t="e">
        <f>INDEX(方位係数!$B$2:$J$10,MATCH($E29,方位係数!$A$2:$A$10,0),MATCH($D$4,方位係数!$B$1:$J$1))</f>
        <v>#N/A</v>
      </c>
      <c r="L29" s="180" t="e">
        <f t="shared" si="5"/>
        <v>#N/A</v>
      </c>
      <c r="M29" s="180" t="e">
        <f>INDEX(方位係数!$B$13:$J$21,MATCH($E29,方位係数!$A$13:$A$21,0),MATCH($D$4,方位係数!$B$12:$J$12))</f>
        <v>#N/A</v>
      </c>
      <c r="N29" s="180" t="e">
        <f t="shared" si="6"/>
        <v>#N/A</v>
      </c>
      <c r="O29" s="201"/>
      <c r="P29" s="309"/>
      <c r="Q29" s="312"/>
    </row>
    <row r="30" spans="1:17" ht="18" customHeight="1" x14ac:dyDescent="0.15">
      <c r="C30" s="345" t="s">
        <v>402</v>
      </c>
      <c r="D30" s="361"/>
      <c r="E30" s="202"/>
      <c r="F30" s="178">
        <f>IF($N$4="床断熱",3.185*0.45,0)</f>
        <v>0</v>
      </c>
      <c r="G30" s="59"/>
      <c r="H30" s="179">
        <v>0.7</v>
      </c>
      <c r="I30" s="178">
        <f t="shared" si="7"/>
        <v>0</v>
      </c>
      <c r="J30" s="180">
        <f t="shared" si="4"/>
        <v>0</v>
      </c>
      <c r="K30" s="180">
        <v>0</v>
      </c>
      <c r="L30" s="180">
        <f t="shared" si="5"/>
        <v>0</v>
      </c>
      <c r="M30" s="180">
        <v>0</v>
      </c>
      <c r="N30" s="180">
        <f t="shared" si="6"/>
        <v>0</v>
      </c>
      <c r="O30" s="201"/>
      <c r="P30" s="309"/>
      <c r="Q30" s="312"/>
    </row>
    <row r="31" spans="1:17" ht="18" customHeight="1" x14ac:dyDescent="0.15">
      <c r="C31" s="345" t="s">
        <v>403</v>
      </c>
      <c r="D31" s="361"/>
      <c r="E31" s="177" t="s">
        <v>27</v>
      </c>
      <c r="F31" s="203">
        <f>IF($N$4="床断熱",1.82*0.45,0)</f>
        <v>0</v>
      </c>
      <c r="G31" s="61"/>
      <c r="H31" s="204">
        <v>1</v>
      </c>
      <c r="I31" s="203">
        <f t="shared" si="7"/>
        <v>0</v>
      </c>
      <c r="J31" s="180">
        <f t="shared" si="4"/>
        <v>0</v>
      </c>
      <c r="K31" s="180" t="e">
        <f>INDEX(方位係数!$B$2:$J$10,MATCH($E31,方位係数!$A$2:$A$10,0),MATCH($D$4,方位係数!$B$1:$J$1))</f>
        <v>#N/A</v>
      </c>
      <c r="L31" s="180" t="e">
        <f t="shared" si="5"/>
        <v>#N/A</v>
      </c>
      <c r="M31" s="180" t="e">
        <f>INDEX(方位係数!$B$13:$J$21,MATCH($E31,方位係数!$A$13:$A$21,0),MATCH($D$4,方位係数!$B$12:$J$12))</f>
        <v>#N/A</v>
      </c>
      <c r="N31" s="180" t="e">
        <f t="shared" si="6"/>
        <v>#N/A</v>
      </c>
      <c r="O31" s="201"/>
      <c r="P31" s="309"/>
      <c r="Q31" s="312"/>
    </row>
    <row r="32" spans="1:17" ht="18" customHeight="1" x14ac:dyDescent="0.15">
      <c r="C32" s="345" t="s">
        <v>404</v>
      </c>
      <c r="D32" s="361"/>
      <c r="E32" s="177" t="s">
        <v>28</v>
      </c>
      <c r="F32" s="203">
        <f>IF($N$4="床断熱",1.82*0.45,0)</f>
        <v>0</v>
      </c>
      <c r="G32" s="61"/>
      <c r="H32" s="204">
        <v>1</v>
      </c>
      <c r="I32" s="203">
        <f t="shared" si="7"/>
        <v>0</v>
      </c>
      <c r="J32" s="180">
        <f t="shared" si="4"/>
        <v>0</v>
      </c>
      <c r="K32" s="180" t="e">
        <f>INDEX(方位係数!$B$2:$J$10,MATCH($E32,方位係数!$A$2:$A$10,0),MATCH($D$4,方位係数!$B$1:$J$1))</f>
        <v>#N/A</v>
      </c>
      <c r="L32" s="180" t="e">
        <f t="shared" si="5"/>
        <v>#N/A</v>
      </c>
      <c r="M32" s="180" t="e">
        <f>INDEX(方位係数!$B$13:$J$21,MATCH($E32,方位係数!$A$13:$A$21,0),MATCH($D$4,方位係数!$B$12:$J$12))</f>
        <v>#N/A</v>
      </c>
      <c r="N32" s="180" t="e">
        <f t="shared" si="6"/>
        <v>#N/A</v>
      </c>
      <c r="O32" s="201"/>
      <c r="P32" s="309"/>
      <c r="Q32" s="312"/>
    </row>
    <row r="33" spans="1:17" ht="18" customHeight="1" thickBot="1" x14ac:dyDescent="0.2">
      <c r="C33" s="362" t="s">
        <v>405</v>
      </c>
      <c r="D33" s="363"/>
      <c r="E33" s="205"/>
      <c r="F33" s="182">
        <f>IF($N$4="床断熱",3.64*0.45,0)</f>
        <v>0</v>
      </c>
      <c r="G33" s="70"/>
      <c r="H33" s="183">
        <v>0.7</v>
      </c>
      <c r="I33" s="182">
        <f t="shared" si="7"/>
        <v>0</v>
      </c>
      <c r="J33" s="184">
        <f t="shared" si="4"/>
        <v>0</v>
      </c>
      <c r="K33" s="206">
        <v>0</v>
      </c>
      <c r="L33" s="206">
        <f t="shared" si="5"/>
        <v>0</v>
      </c>
      <c r="M33" s="206">
        <v>0</v>
      </c>
      <c r="N33" s="206">
        <f t="shared" si="6"/>
        <v>0</v>
      </c>
      <c r="O33" s="201"/>
      <c r="P33" s="309"/>
      <c r="Q33" s="313"/>
    </row>
    <row r="34" spans="1:17" ht="18" customHeight="1" thickTop="1" x14ac:dyDescent="0.15">
      <c r="C34" s="207"/>
      <c r="D34" s="364" t="s">
        <v>79</v>
      </c>
      <c r="E34" s="365"/>
      <c r="F34" s="208">
        <f>IF($N$4="床断熱",67.9+SUM(F28:F33),0)</f>
        <v>0</v>
      </c>
      <c r="G34" s="167"/>
      <c r="H34" s="209" t="s">
        <v>33</v>
      </c>
      <c r="I34" s="208">
        <f>SUM(I26:I33)</f>
        <v>0</v>
      </c>
      <c r="J34" s="127"/>
      <c r="K34" s="187" t="s">
        <v>411</v>
      </c>
      <c r="L34" s="189" t="e">
        <f>SUM(L26:L33)</f>
        <v>#N/A</v>
      </c>
      <c r="M34" s="187" t="s">
        <v>412</v>
      </c>
      <c r="N34" s="189" t="e">
        <f>SUM(N26:N33)</f>
        <v>#N/A</v>
      </c>
      <c r="O34" s="119"/>
    </row>
    <row r="35" spans="1:17" ht="48" customHeight="1" thickBot="1" x14ac:dyDescent="0.2">
      <c r="C35" s="304" t="s">
        <v>418</v>
      </c>
      <c r="D35" s="304"/>
      <c r="E35" s="304"/>
      <c r="F35" s="210" t="s">
        <v>34</v>
      </c>
      <c r="G35" s="211" t="s">
        <v>416</v>
      </c>
      <c r="H35" s="125" t="s">
        <v>23</v>
      </c>
      <c r="I35" s="125" t="s">
        <v>273</v>
      </c>
    </row>
    <row r="36" spans="1:17" ht="18" customHeight="1" thickTop="1" x14ac:dyDescent="0.15">
      <c r="C36" s="409" t="s">
        <v>406</v>
      </c>
      <c r="D36" s="409"/>
      <c r="E36" s="409"/>
      <c r="F36" s="174">
        <f>IF($N$4="床断熱",3.185,0)</f>
        <v>0</v>
      </c>
      <c r="G36" s="58">
        <v>0.99</v>
      </c>
      <c r="H36" s="175">
        <v>1</v>
      </c>
      <c r="I36" s="174">
        <f>F36*G36*H36</f>
        <v>0</v>
      </c>
      <c r="P36" s="120" t="s">
        <v>213</v>
      </c>
      <c r="Q36" s="356" t="s">
        <v>506</v>
      </c>
    </row>
    <row r="37" spans="1:17" ht="18" customHeight="1" x14ac:dyDescent="0.15">
      <c r="C37" s="410" t="s">
        <v>407</v>
      </c>
      <c r="D37" s="410"/>
      <c r="E37" s="410"/>
      <c r="F37" s="178">
        <f>IF($N$4="床断熱",3.185,0)</f>
        <v>0</v>
      </c>
      <c r="G37" s="59">
        <v>0.99</v>
      </c>
      <c r="H37" s="179">
        <v>0.7</v>
      </c>
      <c r="I37" s="178">
        <f>F37*G37*H37</f>
        <v>0</v>
      </c>
      <c r="Q37" s="357"/>
    </row>
    <row r="38" spans="1:17" ht="18" customHeight="1" x14ac:dyDescent="0.15">
      <c r="C38" s="410" t="s">
        <v>408</v>
      </c>
      <c r="D38" s="410"/>
      <c r="E38" s="410"/>
      <c r="F38" s="178">
        <f>IF($N$4="床断熱",3.64,0)</f>
        <v>0</v>
      </c>
      <c r="G38" s="59">
        <v>0.99</v>
      </c>
      <c r="H38" s="179">
        <v>1</v>
      </c>
      <c r="I38" s="178">
        <f>F38*G38*H38</f>
        <v>0</v>
      </c>
      <c r="Q38" s="357"/>
    </row>
    <row r="39" spans="1:17" ht="18" customHeight="1" thickBot="1" x14ac:dyDescent="0.2">
      <c r="C39" s="411" t="s">
        <v>409</v>
      </c>
      <c r="D39" s="411"/>
      <c r="E39" s="411"/>
      <c r="F39" s="186">
        <f>IF($N$4="床断熱",3.64,0)</f>
        <v>0</v>
      </c>
      <c r="G39" s="70">
        <v>0.99</v>
      </c>
      <c r="H39" s="212">
        <v>0.7</v>
      </c>
      <c r="I39" s="213">
        <f>F39*G39*H39</f>
        <v>0</v>
      </c>
      <c r="Q39" s="357"/>
    </row>
    <row r="40" spans="1:17" ht="20.25" customHeight="1" thickTop="1" thickBot="1" x14ac:dyDescent="0.2">
      <c r="C40" s="119" t="s">
        <v>425</v>
      </c>
      <c r="F40" s="190"/>
      <c r="H40" s="187" t="s">
        <v>191</v>
      </c>
      <c r="I40" s="186">
        <f>SUM(I36:I39)</f>
        <v>0</v>
      </c>
      <c r="Q40" s="358"/>
    </row>
    <row r="41" spans="1:17" ht="20.25" customHeight="1" thickTop="1" x14ac:dyDescent="0.15">
      <c r="C41" s="119" t="s">
        <v>433</v>
      </c>
      <c r="F41" s="190"/>
      <c r="Q41" s="214"/>
    </row>
    <row r="42" spans="1:17" ht="9" customHeight="1" x14ac:dyDescent="0.15">
      <c r="F42" s="190"/>
    </row>
    <row r="43" spans="1:17" s="42" customFormat="1" ht="18" customHeight="1" x14ac:dyDescent="0.15">
      <c r="A43" s="119"/>
      <c r="B43" s="119"/>
      <c r="C43" s="122" t="s">
        <v>509</v>
      </c>
      <c r="D43" s="119"/>
      <c r="E43" s="119"/>
      <c r="F43" s="119"/>
      <c r="G43" s="119"/>
      <c r="H43" s="119"/>
      <c r="I43" s="119"/>
      <c r="J43" s="119"/>
      <c r="K43" s="119"/>
      <c r="L43" s="119"/>
      <c r="M43" s="119"/>
      <c r="N43" s="119"/>
      <c r="O43" s="119"/>
      <c r="P43" s="120"/>
      <c r="Q43" s="215"/>
    </row>
    <row r="44" spans="1:17" s="4" customFormat="1" ht="60.75" customHeight="1" thickBot="1" x14ac:dyDescent="0.2">
      <c r="A44" s="171"/>
      <c r="B44" s="146"/>
      <c r="C44" s="314" t="s">
        <v>419</v>
      </c>
      <c r="D44" s="315"/>
      <c r="E44" s="316"/>
      <c r="F44" s="125" t="s">
        <v>186</v>
      </c>
      <c r="G44" s="125" t="s">
        <v>415</v>
      </c>
      <c r="H44" s="125" t="s">
        <v>23</v>
      </c>
      <c r="I44" s="125" t="s">
        <v>24</v>
      </c>
      <c r="J44" s="125" t="s">
        <v>287</v>
      </c>
      <c r="K44" s="125" t="s">
        <v>188</v>
      </c>
      <c r="L44" s="125" t="s">
        <v>285</v>
      </c>
      <c r="M44" s="125" t="s">
        <v>187</v>
      </c>
      <c r="N44" s="125" t="s">
        <v>288</v>
      </c>
      <c r="O44" s="146"/>
      <c r="P44" s="120"/>
      <c r="Q44" s="216"/>
    </row>
    <row r="45" spans="1:17" ht="18" customHeight="1" thickTop="1" x14ac:dyDescent="0.15">
      <c r="C45" s="345" t="s">
        <v>410</v>
      </c>
      <c r="D45" s="361"/>
      <c r="E45" s="177" t="s">
        <v>26</v>
      </c>
      <c r="F45" s="178">
        <f>IF($N$4="基礎断熱",4.71,0)</f>
        <v>0</v>
      </c>
      <c r="G45" s="62"/>
      <c r="H45" s="179">
        <v>1</v>
      </c>
      <c r="I45" s="178">
        <f>F45*G45*H45</f>
        <v>0</v>
      </c>
      <c r="J45" s="180">
        <f t="shared" ref="J45:J48" si="8">G45*0.034</f>
        <v>0</v>
      </c>
      <c r="K45" s="180" t="e">
        <f>INDEX(方位係数!$B$2:$J$10,MATCH($E45,方位係数!$A$2:$A$10,0),MATCH($D$4,方位係数!$B$1:$J$1))</f>
        <v>#N/A</v>
      </c>
      <c r="L45" s="180" t="e">
        <f t="shared" ref="L45:L48" si="9">$K45*$F45*$J45</f>
        <v>#N/A</v>
      </c>
      <c r="M45" s="180" t="e">
        <f>INDEX(方位係数!$B$13:$J$21,MATCH($E45,方位係数!$A$13:$A$21,0),MATCH($D$4,方位係数!$B$12:$J$12))</f>
        <v>#N/A</v>
      </c>
      <c r="N45" s="180" t="e">
        <f t="shared" ref="N45:N48" si="10">$M45*$F45*$J45</f>
        <v>#N/A</v>
      </c>
      <c r="O45" s="201"/>
      <c r="P45" s="157" t="s">
        <v>213</v>
      </c>
      <c r="Q45" s="342" t="s">
        <v>427</v>
      </c>
    </row>
    <row r="46" spans="1:17" ht="18" customHeight="1" x14ac:dyDescent="0.15">
      <c r="C46" s="345" t="s">
        <v>410</v>
      </c>
      <c r="D46" s="361"/>
      <c r="E46" s="177" t="s">
        <v>27</v>
      </c>
      <c r="F46" s="178">
        <f>IF($N$4="基礎断熱",3.28,0)</f>
        <v>0</v>
      </c>
      <c r="G46" s="59"/>
      <c r="H46" s="179">
        <v>1</v>
      </c>
      <c r="I46" s="178">
        <f>F46*G46*H46</f>
        <v>0</v>
      </c>
      <c r="J46" s="180">
        <f t="shared" si="8"/>
        <v>0</v>
      </c>
      <c r="K46" s="180" t="e">
        <f>INDEX(方位係数!$B$2:$J$10,MATCH($E46,方位係数!$A$2:$A$10,0),MATCH($D$4,方位係数!$B$1:$J$1))</f>
        <v>#N/A</v>
      </c>
      <c r="L46" s="180" t="e">
        <f t="shared" si="9"/>
        <v>#N/A</v>
      </c>
      <c r="M46" s="180" t="e">
        <f>INDEX(方位係数!$B$13:$J$21,MATCH($E46,方位係数!$A$13:$A$21,0),MATCH($D$4,方位係数!$B$12:$J$12))</f>
        <v>#N/A</v>
      </c>
      <c r="N46" s="180" t="e">
        <f t="shared" si="10"/>
        <v>#N/A</v>
      </c>
      <c r="O46" s="201"/>
      <c r="P46" s="157"/>
      <c r="Q46" s="343"/>
    </row>
    <row r="47" spans="1:17" ht="18" customHeight="1" x14ac:dyDescent="0.15">
      <c r="C47" s="345" t="s">
        <v>410</v>
      </c>
      <c r="D47" s="361"/>
      <c r="E47" s="177" t="s">
        <v>28</v>
      </c>
      <c r="F47" s="203">
        <f>IF($N$4="基礎断熱",4.71,0)</f>
        <v>0</v>
      </c>
      <c r="G47" s="59"/>
      <c r="H47" s="204">
        <v>1</v>
      </c>
      <c r="I47" s="203">
        <f>F47*G47*H47</f>
        <v>0</v>
      </c>
      <c r="J47" s="180">
        <f t="shared" si="8"/>
        <v>0</v>
      </c>
      <c r="K47" s="180" t="e">
        <f>INDEX(方位係数!$B$2:$J$10,MATCH($E47,方位係数!$A$2:$A$10,0),MATCH($D$4,方位係数!$B$1:$J$1))</f>
        <v>#N/A</v>
      </c>
      <c r="L47" s="180" t="e">
        <f t="shared" si="9"/>
        <v>#N/A</v>
      </c>
      <c r="M47" s="180" t="e">
        <f>INDEX(方位係数!$B$13:$J$21,MATCH($E47,方位係数!$A$13:$A$21,0),MATCH($D$4,方位係数!$B$12:$J$12))</f>
        <v>#N/A</v>
      </c>
      <c r="N47" s="180" t="e">
        <f t="shared" si="10"/>
        <v>#N/A</v>
      </c>
      <c r="O47" s="201"/>
      <c r="P47" s="157"/>
      <c r="Q47" s="343"/>
    </row>
    <row r="48" spans="1:17" ht="18" customHeight="1" thickBot="1" x14ac:dyDescent="0.2">
      <c r="C48" s="345" t="s">
        <v>410</v>
      </c>
      <c r="D48" s="361"/>
      <c r="E48" s="177" t="s">
        <v>29</v>
      </c>
      <c r="F48" s="213">
        <f>IF($N$4="基礎断熱",3.28,0)</f>
        <v>0</v>
      </c>
      <c r="G48" s="70"/>
      <c r="H48" s="212">
        <v>1</v>
      </c>
      <c r="I48" s="213">
        <f>F48*G48*H48</f>
        <v>0</v>
      </c>
      <c r="J48" s="184">
        <f t="shared" si="8"/>
        <v>0</v>
      </c>
      <c r="K48" s="206" t="e">
        <f>INDEX(方位係数!$B$2:$J$10,MATCH($E48,方位係数!$A$2:$A$10,0),MATCH($D$4,方位係数!$B$1:$J$1))</f>
        <v>#N/A</v>
      </c>
      <c r="L48" s="206" t="e">
        <f t="shared" si="9"/>
        <v>#N/A</v>
      </c>
      <c r="M48" s="206" t="e">
        <f>INDEX(方位係数!$B$13:$J$21,MATCH($E48,方位係数!$A$13:$A$21,0),MATCH($D$4,方位係数!$B$12:$J$12))</f>
        <v>#N/A</v>
      </c>
      <c r="N48" s="206" t="e">
        <f t="shared" si="10"/>
        <v>#N/A</v>
      </c>
      <c r="O48" s="201"/>
      <c r="P48" s="157"/>
      <c r="Q48" s="344"/>
    </row>
    <row r="49" spans="1:17" ht="18" customHeight="1" thickTop="1" thickBot="1" x14ac:dyDescent="0.2">
      <c r="C49" s="207"/>
      <c r="D49" s="359" t="s">
        <v>429</v>
      </c>
      <c r="E49" s="360"/>
      <c r="F49" s="186">
        <f>IF($N$4="基礎断熱",67.9+SUM(F45:F48),0)</f>
        <v>0</v>
      </c>
      <c r="G49" s="167"/>
      <c r="H49" s="187" t="s">
        <v>33</v>
      </c>
      <c r="I49" s="186">
        <f>SUM(I43:I48)</f>
        <v>0</v>
      </c>
      <c r="J49" s="127"/>
      <c r="K49" s="187" t="s">
        <v>411</v>
      </c>
      <c r="L49" s="189" t="e">
        <f>SUM(L40:L48)</f>
        <v>#N/A</v>
      </c>
      <c r="M49" s="187" t="s">
        <v>412</v>
      </c>
      <c r="N49" s="189" t="e">
        <f>SUM(N40:N48)</f>
        <v>#N/A</v>
      </c>
      <c r="O49" s="119"/>
    </row>
    <row r="50" spans="1:17" ht="48" customHeight="1" thickTop="1" x14ac:dyDescent="0.15">
      <c r="C50" s="304" t="s">
        <v>418</v>
      </c>
      <c r="D50" s="304"/>
      <c r="E50" s="304"/>
      <c r="F50" s="210" t="s">
        <v>34</v>
      </c>
      <c r="G50" s="211" t="s">
        <v>416</v>
      </c>
      <c r="H50" s="125" t="s">
        <v>23</v>
      </c>
      <c r="I50" s="125" t="s">
        <v>273</v>
      </c>
      <c r="Q50" s="342" t="s">
        <v>507</v>
      </c>
    </row>
    <row r="51" spans="1:17" ht="18" customHeight="1" thickBot="1" x14ac:dyDescent="0.2">
      <c r="C51" s="376" t="s">
        <v>413</v>
      </c>
      <c r="D51" s="377"/>
      <c r="E51" s="378"/>
      <c r="F51" s="194">
        <f>IF($N$4="基礎断熱",35.49,0)</f>
        <v>0</v>
      </c>
      <c r="G51" s="89">
        <v>0.99</v>
      </c>
      <c r="H51" s="217">
        <v>1</v>
      </c>
      <c r="I51" s="218">
        <f>F51*G51*H51</f>
        <v>0</v>
      </c>
      <c r="O51" s="119"/>
      <c r="P51" s="309" t="s">
        <v>213</v>
      </c>
      <c r="Q51" s="343"/>
    </row>
    <row r="52" spans="1:17" ht="18" customHeight="1" thickTop="1" x14ac:dyDescent="0.15">
      <c r="C52" s="119" t="s">
        <v>434</v>
      </c>
      <c r="D52" s="167"/>
      <c r="E52" s="167"/>
      <c r="F52" s="167"/>
      <c r="G52" s="167"/>
      <c r="H52" s="187" t="s">
        <v>191</v>
      </c>
      <c r="I52" s="186">
        <f>I51</f>
        <v>0</v>
      </c>
      <c r="J52" s="127"/>
      <c r="O52" s="119"/>
      <c r="P52" s="309"/>
      <c r="Q52" s="343"/>
    </row>
    <row r="53" spans="1:17" ht="9" customHeight="1" thickBot="1" x14ac:dyDescent="0.2">
      <c r="Q53" s="344"/>
    </row>
    <row r="54" spans="1:17" s="42" customFormat="1" ht="18" customHeight="1" thickTop="1" x14ac:dyDescent="0.15">
      <c r="A54" s="119"/>
      <c r="B54" s="119"/>
      <c r="C54" s="122" t="s">
        <v>508</v>
      </c>
      <c r="D54" s="119"/>
      <c r="E54" s="119"/>
      <c r="F54" s="119"/>
      <c r="G54" s="119"/>
      <c r="H54" s="119"/>
      <c r="I54" s="119"/>
      <c r="J54" s="119"/>
      <c r="K54" s="119"/>
      <c r="L54" s="119"/>
      <c r="M54" s="119"/>
      <c r="N54" s="119"/>
      <c r="O54" s="119"/>
      <c r="P54" s="119"/>
      <c r="Q54" s="219"/>
    </row>
    <row r="55" spans="1:17" s="4" customFormat="1" ht="66" customHeight="1" thickBot="1" x14ac:dyDescent="0.2">
      <c r="A55" s="171"/>
      <c r="B55" s="146"/>
      <c r="C55" s="314" t="s">
        <v>21</v>
      </c>
      <c r="D55" s="315"/>
      <c r="E55" s="316"/>
      <c r="F55" s="125" t="s">
        <v>186</v>
      </c>
      <c r="G55" s="125" t="s">
        <v>415</v>
      </c>
      <c r="H55" s="125" t="s">
        <v>23</v>
      </c>
      <c r="I55" s="147" t="s">
        <v>24</v>
      </c>
      <c r="J55" s="125" t="s">
        <v>286</v>
      </c>
      <c r="K55" s="125" t="s">
        <v>188</v>
      </c>
      <c r="L55" s="125" t="s">
        <v>285</v>
      </c>
      <c r="M55" s="125" t="s">
        <v>187</v>
      </c>
      <c r="N55" s="125" t="s">
        <v>288</v>
      </c>
      <c r="O55" s="172"/>
      <c r="P55" s="122"/>
      <c r="Q55" s="121"/>
    </row>
    <row r="56" spans="1:17" ht="18" customHeight="1" thickTop="1" x14ac:dyDescent="0.15">
      <c r="C56" s="401" t="s">
        <v>35</v>
      </c>
      <c r="D56" s="402"/>
      <c r="E56" s="403"/>
      <c r="F56" s="198">
        <f>IF($I$4="天井断熱",12.42+3.31,0)</f>
        <v>0</v>
      </c>
      <c r="G56" s="62"/>
      <c r="H56" s="199">
        <v>1</v>
      </c>
      <c r="I56" s="198">
        <f>F56*G56*H56</f>
        <v>0</v>
      </c>
      <c r="J56" s="200">
        <f>G56*0.034</f>
        <v>0</v>
      </c>
      <c r="K56" s="200">
        <v>1</v>
      </c>
      <c r="L56" s="200">
        <f>$K56*$F56*$J56</f>
        <v>0</v>
      </c>
      <c r="M56" s="200">
        <v>1</v>
      </c>
      <c r="N56" s="200">
        <f>$M56*$F56*$J56</f>
        <v>0</v>
      </c>
      <c r="P56" s="310" t="s">
        <v>213</v>
      </c>
      <c r="Q56" s="311" t="s">
        <v>214</v>
      </c>
    </row>
    <row r="57" spans="1:17" ht="18" customHeight="1" thickBot="1" x14ac:dyDescent="0.2">
      <c r="C57" s="412" t="s">
        <v>36</v>
      </c>
      <c r="D57" s="413"/>
      <c r="E57" s="414"/>
      <c r="F57" s="182">
        <f>IF($I$4="天井断熱",52.17,0)</f>
        <v>0</v>
      </c>
      <c r="G57" s="70"/>
      <c r="H57" s="183">
        <v>1</v>
      </c>
      <c r="I57" s="182">
        <f>F57*G57*H57</f>
        <v>0</v>
      </c>
      <c r="J57" s="184">
        <f>G57*0.034</f>
        <v>0</v>
      </c>
      <c r="K57" s="185">
        <v>1</v>
      </c>
      <c r="L57" s="185">
        <f>$K57*$F57*$J57</f>
        <v>0</v>
      </c>
      <c r="M57" s="185">
        <v>1</v>
      </c>
      <c r="N57" s="185">
        <f>$M57*$F57*$J57</f>
        <v>0</v>
      </c>
      <c r="P57" s="310"/>
      <c r="Q57" s="313"/>
    </row>
    <row r="58" spans="1:17" ht="18" customHeight="1" thickTop="1" x14ac:dyDescent="0.15">
      <c r="C58" s="220"/>
      <c r="D58" s="349" t="s">
        <v>37</v>
      </c>
      <c r="E58" s="350"/>
      <c r="F58" s="186">
        <f>SUM(F56:F57)</f>
        <v>0</v>
      </c>
      <c r="G58" s="167"/>
      <c r="H58" s="187" t="s">
        <v>192</v>
      </c>
      <c r="I58" s="186">
        <f>SUM(I56:I57)</f>
        <v>0</v>
      </c>
      <c r="J58" s="188"/>
      <c r="K58" s="187" t="s">
        <v>194</v>
      </c>
      <c r="L58" s="189">
        <f>SUM(L56:L57)</f>
        <v>0</v>
      </c>
      <c r="M58" s="187" t="s">
        <v>193</v>
      </c>
      <c r="N58" s="189">
        <f>SUM(N56:N57)</f>
        <v>0</v>
      </c>
    </row>
    <row r="59" spans="1:17" ht="13.5" customHeight="1" x14ac:dyDescent="0.15">
      <c r="O59" s="119"/>
      <c r="P59" s="341"/>
    </row>
    <row r="60" spans="1:17" ht="18" customHeight="1" x14ac:dyDescent="0.15">
      <c r="C60" s="122" t="s">
        <v>510</v>
      </c>
      <c r="P60" s="341"/>
    </row>
    <row r="61" spans="1:17" s="4" customFormat="1" ht="66" customHeight="1" thickBot="1" x14ac:dyDescent="0.2">
      <c r="A61" s="171"/>
      <c r="B61" s="146"/>
      <c r="C61" s="314" t="s">
        <v>21</v>
      </c>
      <c r="D61" s="316"/>
      <c r="E61" s="147" t="s">
        <v>22</v>
      </c>
      <c r="F61" s="125" t="s">
        <v>186</v>
      </c>
      <c r="G61" s="125" t="s">
        <v>415</v>
      </c>
      <c r="H61" s="125" t="s">
        <v>23</v>
      </c>
      <c r="I61" s="147" t="s">
        <v>24</v>
      </c>
      <c r="J61" s="125" t="s">
        <v>286</v>
      </c>
      <c r="K61" s="125" t="s">
        <v>188</v>
      </c>
      <c r="L61" s="125" t="s">
        <v>285</v>
      </c>
      <c r="M61" s="125" t="s">
        <v>187</v>
      </c>
      <c r="N61" s="125" t="s">
        <v>288</v>
      </c>
      <c r="O61" s="172"/>
      <c r="P61" s="122"/>
      <c r="Q61" s="121"/>
    </row>
    <row r="62" spans="1:17" ht="18" customHeight="1" thickTop="1" x14ac:dyDescent="0.15">
      <c r="C62" s="404" t="s">
        <v>80</v>
      </c>
      <c r="D62" s="407"/>
      <c r="E62" s="221" t="s">
        <v>38</v>
      </c>
      <c r="F62" s="174">
        <f>IF($I$4="屋根断熱",57.2,0)</f>
        <v>0</v>
      </c>
      <c r="G62" s="58"/>
      <c r="H62" s="175">
        <v>1</v>
      </c>
      <c r="I62" s="174">
        <f>F62*G62*H62</f>
        <v>0</v>
      </c>
      <c r="J62" s="176">
        <f t="shared" ref="J62:J71" si="11">G62*0.034</f>
        <v>0</v>
      </c>
      <c r="K62" s="176" t="e">
        <f>INDEX(方位係数!$B$2:$J$10,MATCH($E62,方位係数!$A$2:$A$10,0),MATCH($D$4,方位係数!$B$1:$J$1))</f>
        <v>#N/A</v>
      </c>
      <c r="L62" s="176" t="e">
        <f t="shared" ref="L62:L71" si="12">$K62*$F62*$J62</f>
        <v>#N/A</v>
      </c>
      <c r="M62" s="176" t="e">
        <f>INDEX(方位係数!$B$13:$J$21,MATCH($E62,方位係数!$A$13:$A$21,0),MATCH($D$4,方位係数!$B$12:$J$12))</f>
        <v>#N/A</v>
      </c>
      <c r="N62" s="176" t="e">
        <f t="shared" ref="N62:N71" si="13">$M62*$F62*$J62</f>
        <v>#N/A</v>
      </c>
      <c r="P62" s="120" t="s">
        <v>213</v>
      </c>
      <c r="Q62" s="311" t="s">
        <v>441</v>
      </c>
    </row>
    <row r="63" spans="1:17" ht="18" customHeight="1" x14ac:dyDescent="0.15">
      <c r="C63" s="345" t="s">
        <v>82</v>
      </c>
      <c r="D63" s="346"/>
      <c r="E63" s="222" t="s">
        <v>38</v>
      </c>
      <c r="F63" s="178">
        <f>IF($I$4="屋根断熱",13.16,0)</f>
        <v>0</v>
      </c>
      <c r="G63" s="59"/>
      <c r="H63" s="179">
        <v>1</v>
      </c>
      <c r="I63" s="178">
        <f>F63*G63*H63</f>
        <v>0</v>
      </c>
      <c r="J63" s="180">
        <f>G63*0.034</f>
        <v>0</v>
      </c>
      <c r="K63" s="180" t="e">
        <f>INDEX(方位係数!$B$2:$J$10,MATCH($E63,方位係数!$A$2:$A$10,0),MATCH($D$4,方位係数!$B$1:$J$1))</f>
        <v>#N/A</v>
      </c>
      <c r="L63" s="180" t="e">
        <f>$K63*$F63*$J63</f>
        <v>#N/A</v>
      </c>
      <c r="M63" s="180" t="e">
        <f>INDEX(方位係数!$B$13:$J$21,MATCH($E63,方位係数!$A$13:$A$21,0),MATCH($D$4,方位係数!$B$12:$J$12))</f>
        <v>#N/A</v>
      </c>
      <c r="N63" s="180" t="e">
        <f>$M63*$F63*$J63</f>
        <v>#N/A</v>
      </c>
      <c r="P63" s="120"/>
      <c r="Q63" s="312"/>
    </row>
    <row r="64" spans="1:17" ht="18" customHeight="1" x14ac:dyDescent="0.15">
      <c r="C64" s="406" t="s">
        <v>84</v>
      </c>
      <c r="D64" s="408"/>
      <c r="E64" s="223" t="s">
        <v>38</v>
      </c>
      <c r="F64" s="224">
        <f>IF($I$4="屋根断熱",5.56,0)</f>
        <v>0</v>
      </c>
      <c r="G64" s="70"/>
      <c r="H64" s="225">
        <v>1</v>
      </c>
      <c r="I64" s="224">
        <f>F64*G64*H64</f>
        <v>0</v>
      </c>
      <c r="J64" s="184">
        <f>G64*0.034</f>
        <v>0</v>
      </c>
      <c r="K64" s="184" t="e">
        <f>INDEX(方位係数!$B$2:$J$10,MATCH($E64,方位係数!$A$2:$A$10,0),MATCH($D$4,方位係数!$B$1:$J$1))</f>
        <v>#N/A</v>
      </c>
      <c r="L64" s="184" t="e">
        <f>$K64*$F64*$J64</f>
        <v>#N/A</v>
      </c>
      <c r="M64" s="184" t="e">
        <f>INDEX(方位係数!$B$13:$J$21,MATCH($E64,方位係数!$A$13:$A$21,0),MATCH($D$4,方位係数!$B$12:$J$12))</f>
        <v>#N/A</v>
      </c>
      <c r="N64" s="184" t="e">
        <f>$M64*$F64*$J64</f>
        <v>#N/A</v>
      </c>
      <c r="P64" s="120"/>
      <c r="Q64" s="312"/>
    </row>
    <row r="65" spans="1:17" ht="6" customHeight="1" x14ac:dyDescent="0.15">
      <c r="Q65" s="312"/>
    </row>
    <row r="66" spans="1:17" ht="18" customHeight="1" x14ac:dyDescent="0.15">
      <c r="C66" s="404" t="s">
        <v>81</v>
      </c>
      <c r="D66" s="407"/>
      <c r="E66" s="226" t="s">
        <v>29</v>
      </c>
      <c r="F66" s="198">
        <f>IF($I$4="屋根断熱",3.35,0)</f>
        <v>0</v>
      </c>
      <c r="G66" s="62"/>
      <c r="H66" s="199">
        <v>1</v>
      </c>
      <c r="I66" s="198">
        <f t="shared" ref="I66:I71" si="14">F66*G66*H66</f>
        <v>0</v>
      </c>
      <c r="J66" s="200">
        <f t="shared" si="11"/>
        <v>0</v>
      </c>
      <c r="K66" s="200" t="e">
        <f>INDEX(方位係数!$B$2:$J$10,MATCH($E66,方位係数!$A$2:$A$10,0),MATCH($D$4,方位係数!$B$1:$J$1))</f>
        <v>#N/A</v>
      </c>
      <c r="L66" s="200" t="e">
        <f t="shared" si="12"/>
        <v>#N/A</v>
      </c>
      <c r="M66" s="200" t="e">
        <f>INDEX(方位係数!$B$13:$J$21,MATCH($E66,方位係数!$A$13:$A$21,0),MATCH($D$4,方位係数!$B$12:$J$12))</f>
        <v>#N/A</v>
      </c>
      <c r="N66" s="200" t="e">
        <f t="shared" si="13"/>
        <v>#N/A</v>
      </c>
      <c r="P66" s="120"/>
      <c r="Q66" s="312"/>
    </row>
    <row r="67" spans="1:17" ht="18" customHeight="1" x14ac:dyDescent="0.15">
      <c r="C67" s="345" t="s">
        <v>81</v>
      </c>
      <c r="D67" s="346"/>
      <c r="E67" s="227" t="s">
        <v>27</v>
      </c>
      <c r="F67" s="178">
        <f>IF($I$4="屋根断熱",3.35,0)</f>
        <v>0</v>
      </c>
      <c r="G67" s="59"/>
      <c r="H67" s="179">
        <v>1</v>
      </c>
      <c r="I67" s="178">
        <f t="shared" si="14"/>
        <v>0</v>
      </c>
      <c r="J67" s="180">
        <f t="shared" si="11"/>
        <v>0</v>
      </c>
      <c r="K67" s="180" t="e">
        <f>INDEX(方位係数!$B$2:$J$10,MATCH($E67,方位係数!$A$2:$A$10,0),MATCH($D$4,方位係数!$B$1:$J$1))</f>
        <v>#N/A</v>
      </c>
      <c r="L67" s="180" t="e">
        <f t="shared" si="12"/>
        <v>#N/A</v>
      </c>
      <c r="M67" s="180" t="e">
        <f>INDEX(方位係数!$B$13:$J$21,MATCH($E67,方位係数!$A$13:$A$21,0),MATCH($D$4,方位係数!$B$12:$J$12))</f>
        <v>#N/A</v>
      </c>
      <c r="N67" s="180" t="e">
        <f t="shared" si="13"/>
        <v>#N/A</v>
      </c>
      <c r="P67" s="120"/>
      <c r="Q67" s="312"/>
    </row>
    <row r="68" spans="1:17" ht="18" customHeight="1" x14ac:dyDescent="0.15">
      <c r="C68" s="345" t="s">
        <v>83</v>
      </c>
      <c r="D68" s="346"/>
      <c r="E68" s="227" t="s">
        <v>29</v>
      </c>
      <c r="F68" s="178">
        <f>IF($I$4="屋根断熱",0.58,0)</f>
        <v>0</v>
      </c>
      <c r="G68" s="59"/>
      <c r="H68" s="179">
        <v>1</v>
      </c>
      <c r="I68" s="178">
        <f t="shared" si="14"/>
        <v>0</v>
      </c>
      <c r="J68" s="180">
        <f t="shared" si="11"/>
        <v>0</v>
      </c>
      <c r="K68" s="180" t="e">
        <f>INDEX(方位係数!$B$2:$J$10,MATCH($E68,方位係数!$A$2:$A$10,0),MATCH($D$4,方位係数!$B$1:$J$1))</f>
        <v>#N/A</v>
      </c>
      <c r="L68" s="180" t="e">
        <f t="shared" si="12"/>
        <v>#N/A</v>
      </c>
      <c r="M68" s="180" t="e">
        <f>INDEX(方位係数!$B$13:$J$21,MATCH($E68,方位係数!$A$13:$A$21,0),MATCH($D$4,方位係数!$B$12:$J$12))</f>
        <v>#N/A</v>
      </c>
      <c r="N68" s="180" t="e">
        <f t="shared" si="13"/>
        <v>#N/A</v>
      </c>
      <c r="P68" s="120"/>
      <c r="Q68" s="312"/>
    </row>
    <row r="69" spans="1:17" ht="18" customHeight="1" x14ac:dyDescent="0.15">
      <c r="C69" s="345" t="s">
        <v>83</v>
      </c>
      <c r="D69" s="346"/>
      <c r="E69" s="227" t="s">
        <v>27</v>
      </c>
      <c r="F69" s="178">
        <f>IF($I$4="屋根断熱",0.58,0)</f>
        <v>0</v>
      </c>
      <c r="G69" s="59"/>
      <c r="H69" s="179">
        <v>1</v>
      </c>
      <c r="I69" s="178">
        <f t="shared" si="14"/>
        <v>0</v>
      </c>
      <c r="J69" s="180">
        <f t="shared" si="11"/>
        <v>0</v>
      </c>
      <c r="K69" s="180" t="e">
        <f>INDEX(方位係数!$B$2:$J$10,MATCH($E69,方位係数!$A$2:$A$10,0),MATCH($D$4,方位係数!$B$1:$J$1))</f>
        <v>#N/A</v>
      </c>
      <c r="L69" s="180" t="e">
        <f t="shared" si="12"/>
        <v>#N/A</v>
      </c>
      <c r="M69" s="180" t="e">
        <f>INDEX(方位係数!$B$13:$J$21,MATCH($E69,方位係数!$A$13:$A$21,0),MATCH($D$4,方位係数!$B$12:$J$12))</f>
        <v>#N/A</v>
      </c>
      <c r="N69" s="180" t="e">
        <f t="shared" si="13"/>
        <v>#N/A</v>
      </c>
      <c r="P69" s="120"/>
      <c r="Q69" s="312"/>
    </row>
    <row r="70" spans="1:17" ht="18" customHeight="1" x14ac:dyDescent="0.15">
      <c r="C70" s="345" t="s">
        <v>85</v>
      </c>
      <c r="D70" s="346"/>
      <c r="E70" s="227" t="s">
        <v>26</v>
      </c>
      <c r="F70" s="178">
        <f>IF($I$4="屋根断熱",0.21,0)</f>
        <v>0</v>
      </c>
      <c r="G70" s="59"/>
      <c r="H70" s="179">
        <v>1</v>
      </c>
      <c r="I70" s="178">
        <f t="shared" si="14"/>
        <v>0</v>
      </c>
      <c r="J70" s="180">
        <f t="shared" si="11"/>
        <v>0</v>
      </c>
      <c r="K70" s="180" t="e">
        <f>INDEX(方位係数!$B$2:$J$10,MATCH($E70,方位係数!$A$2:$A$10,0),MATCH($D$4,方位係数!$B$1:$J$1))</f>
        <v>#N/A</v>
      </c>
      <c r="L70" s="180" t="e">
        <f t="shared" si="12"/>
        <v>#N/A</v>
      </c>
      <c r="M70" s="180" t="e">
        <f>INDEX(方位係数!$B$13:$J$21,MATCH($E70,方位係数!$A$13:$A$21,0),MATCH($D$4,方位係数!$B$12:$J$12))</f>
        <v>#N/A</v>
      </c>
      <c r="N70" s="180" t="e">
        <f t="shared" si="13"/>
        <v>#N/A</v>
      </c>
      <c r="P70" s="120"/>
      <c r="Q70" s="312"/>
    </row>
    <row r="71" spans="1:17" ht="18" customHeight="1" thickBot="1" x14ac:dyDescent="0.2">
      <c r="C71" s="406" t="s">
        <v>85</v>
      </c>
      <c r="D71" s="363"/>
      <c r="E71" s="228" t="s">
        <v>28</v>
      </c>
      <c r="F71" s="182">
        <f>IF($I$4="屋根断熱",0.21,0)</f>
        <v>0</v>
      </c>
      <c r="G71" s="60"/>
      <c r="H71" s="183">
        <v>1</v>
      </c>
      <c r="I71" s="182">
        <f t="shared" si="14"/>
        <v>0</v>
      </c>
      <c r="J71" s="185">
        <f t="shared" si="11"/>
        <v>0</v>
      </c>
      <c r="K71" s="185" t="e">
        <f>INDEX(方位係数!$B$2:$J$10,MATCH($E71,方位係数!$A$2:$A$10,0),MATCH($D$4,方位係数!$B$1:$J$1))</f>
        <v>#N/A</v>
      </c>
      <c r="L71" s="185" t="e">
        <f t="shared" si="12"/>
        <v>#N/A</v>
      </c>
      <c r="M71" s="185" t="e">
        <f>INDEX(方位係数!$B$13:$J$21,MATCH($E71,方位係数!$A$13:$A$21,0),MATCH($D$4,方位係数!$B$12:$J$12))</f>
        <v>#N/A</v>
      </c>
      <c r="N71" s="185" t="e">
        <f t="shared" si="13"/>
        <v>#N/A</v>
      </c>
      <c r="P71" s="120"/>
      <c r="Q71" s="313"/>
    </row>
    <row r="72" spans="1:17" ht="18" customHeight="1" thickTop="1" x14ac:dyDescent="0.15">
      <c r="D72" s="349" t="s">
        <v>39</v>
      </c>
      <c r="E72" s="350"/>
      <c r="F72" s="186">
        <f>SUM(F62:F71)</f>
        <v>0</v>
      </c>
      <c r="G72" s="167"/>
      <c r="H72" s="187" t="s">
        <v>195</v>
      </c>
      <c r="I72" s="186">
        <f>SUM(I62:I71)</f>
        <v>0</v>
      </c>
      <c r="J72" s="188"/>
      <c r="K72" s="187" t="s">
        <v>197</v>
      </c>
      <c r="L72" s="189" t="e">
        <f>SUM(L62:L71)</f>
        <v>#N/A</v>
      </c>
      <c r="M72" s="187" t="s">
        <v>196</v>
      </c>
      <c r="N72" s="189" t="e">
        <f>SUM(N62:N71)</f>
        <v>#N/A</v>
      </c>
    </row>
    <row r="73" spans="1:17" ht="12" customHeight="1" x14ac:dyDescent="0.15"/>
    <row r="74" spans="1:17" x14ac:dyDescent="0.15">
      <c r="C74" s="122" t="s">
        <v>414</v>
      </c>
    </row>
    <row r="75" spans="1:17" s="4" customFormat="1" ht="66" customHeight="1" thickBot="1" x14ac:dyDescent="0.2">
      <c r="A75" s="171"/>
      <c r="B75" s="146"/>
      <c r="C75" s="147" t="s">
        <v>40</v>
      </c>
      <c r="D75" s="147" t="s">
        <v>22</v>
      </c>
      <c r="E75" s="125" t="s">
        <v>186</v>
      </c>
      <c r="F75" s="125" t="s">
        <v>226</v>
      </c>
      <c r="G75" s="125" t="s">
        <v>23</v>
      </c>
      <c r="H75" s="147" t="s">
        <v>24</v>
      </c>
      <c r="I75" s="125" t="s">
        <v>289</v>
      </c>
      <c r="J75" s="125" t="s">
        <v>188</v>
      </c>
      <c r="K75" s="125" t="s">
        <v>381</v>
      </c>
      <c r="L75" s="125" t="s">
        <v>187</v>
      </c>
      <c r="M75" s="125" t="s">
        <v>382</v>
      </c>
      <c r="N75" s="172"/>
      <c r="O75" s="172"/>
      <c r="P75" s="122"/>
      <c r="Q75" s="121"/>
    </row>
    <row r="76" spans="1:17" ht="18.75" customHeight="1" thickTop="1" x14ac:dyDescent="0.15">
      <c r="C76" s="229" t="s">
        <v>52</v>
      </c>
      <c r="D76" s="197" t="s">
        <v>27</v>
      </c>
      <c r="E76" s="198">
        <v>1.89</v>
      </c>
      <c r="F76" s="78"/>
      <c r="G76" s="199">
        <v>1</v>
      </c>
      <c r="H76" s="198">
        <f>E76*F76*G76</f>
        <v>0</v>
      </c>
      <c r="I76" s="200">
        <f>F76*0.034</f>
        <v>0</v>
      </c>
      <c r="J76" s="200" t="e">
        <f>INDEX(方位係数!$B$2:$J$10,MATCH($D76,方位係数!$A$2:$A$10,0),MATCH($D$4,方位係数!$B$1:$J$1))</f>
        <v>#N/A</v>
      </c>
      <c r="K76" s="200" t="e">
        <f>$J76*$E76*$I76</f>
        <v>#N/A</v>
      </c>
      <c r="L76" s="200" t="e">
        <f>INDEX(方位係数!$B$13:$J$21,MATCH($D76,方位係数!$A$13:$A$21,0),MATCH($D$4,方位係数!$B$12:$J$12))</f>
        <v>#N/A</v>
      </c>
      <c r="M76" s="200" t="e">
        <f>$L76*$E76*$I76</f>
        <v>#N/A</v>
      </c>
      <c r="P76" s="309" t="s">
        <v>213</v>
      </c>
      <c r="Q76" s="311" t="s">
        <v>426</v>
      </c>
    </row>
    <row r="77" spans="1:17" ht="18.75" customHeight="1" thickBot="1" x14ac:dyDescent="0.2">
      <c r="C77" s="230" t="s">
        <v>215</v>
      </c>
      <c r="D77" s="181" t="s">
        <v>28</v>
      </c>
      <c r="E77" s="182" t="e">
        <f>IF(INT(LEFT($D$4,1))&lt;4,1.35,1.62)</f>
        <v>#VALUE!</v>
      </c>
      <c r="F77" s="79"/>
      <c r="G77" s="183">
        <v>1</v>
      </c>
      <c r="H77" s="182" t="e">
        <f t="shared" ref="H77" si="15">E77*F77*G77</f>
        <v>#VALUE!</v>
      </c>
      <c r="I77" s="185">
        <f>F77*0.034</f>
        <v>0</v>
      </c>
      <c r="J77" s="185" t="e">
        <f>INDEX(方位係数!$B$2:$J$10,MATCH($D77,方位係数!$A$2:$A$10,0),MATCH($D$4,方位係数!$B$1:$J$1))</f>
        <v>#N/A</v>
      </c>
      <c r="K77" s="185" t="e">
        <f>$J77*$E77*$I77</f>
        <v>#N/A</v>
      </c>
      <c r="L77" s="185" t="e">
        <f>INDEX(方位係数!$B$13:$J$21,MATCH($D77,方位係数!$A$13:$A$21,0),MATCH($D$4,方位係数!$B$12:$J$12))</f>
        <v>#N/A</v>
      </c>
      <c r="M77" s="185" t="e">
        <f>$L77*$E77*$I77</f>
        <v>#N/A</v>
      </c>
      <c r="P77" s="309"/>
      <c r="Q77" s="312"/>
    </row>
    <row r="78" spans="1:17" ht="18.75" customHeight="1" thickTop="1" thickBot="1" x14ac:dyDescent="0.2">
      <c r="C78" s="400" t="s">
        <v>53</v>
      </c>
      <c r="D78" s="400"/>
      <c r="E78" s="186" t="e">
        <f>SUM(E76:E77)</f>
        <v>#VALUE!</v>
      </c>
      <c r="F78" s="167"/>
      <c r="G78" s="187" t="s">
        <v>54</v>
      </c>
      <c r="H78" s="186" t="e">
        <f>SUM(H76:H77)</f>
        <v>#VALUE!</v>
      </c>
      <c r="I78" s="167"/>
      <c r="J78" s="187" t="s">
        <v>203</v>
      </c>
      <c r="K78" s="189" t="e">
        <f>SUM(K76:K77)</f>
        <v>#N/A</v>
      </c>
      <c r="L78" s="187" t="s">
        <v>202</v>
      </c>
      <c r="M78" s="189" t="e">
        <f>SUM(M76:M77)</f>
        <v>#N/A</v>
      </c>
      <c r="P78" s="309"/>
      <c r="Q78" s="313"/>
    </row>
    <row r="79" spans="1:17" ht="9.75" customHeight="1" thickTop="1" x14ac:dyDescent="0.15">
      <c r="C79" s="127"/>
      <c r="P79" s="309"/>
    </row>
    <row r="80" spans="1:17" ht="18" customHeight="1" x14ac:dyDescent="0.15">
      <c r="C80" s="119" t="s">
        <v>86</v>
      </c>
      <c r="P80" s="156"/>
    </row>
    <row r="81" spans="1:17" s="4" customFormat="1" ht="66" customHeight="1" thickBot="1" x14ac:dyDescent="0.2">
      <c r="A81" s="171"/>
      <c r="B81" s="146"/>
      <c r="C81" s="147" t="s">
        <v>40</v>
      </c>
      <c r="D81" s="147" t="s">
        <v>22</v>
      </c>
      <c r="E81" s="125" t="s">
        <v>186</v>
      </c>
      <c r="F81" s="125" t="s">
        <v>226</v>
      </c>
      <c r="G81" s="125" t="s">
        <v>23</v>
      </c>
      <c r="H81" s="147" t="s">
        <v>24</v>
      </c>
      <c r="I81" s="125" t="s">
        <v>289</v>
      </c>
      <c r="J81" s="125" t="s">
        <v>290</v>
      </c>
      <c r="K81" s="125" t="s">
        <v>188</v>
      </c>
      <c r="L81" s="125" t="s">
        <v>379</v>
      </c>
      <c r="M81" s="125" t="s">
        <v>291</v>
      </c>
      <c r="N81" s="125" t="s">
        <v>187</v>
      </c>
      <c r="O81" s="125" t="s">
        <v>380</v>
      </c>
      <c r="P81" s="122"/>
      <c r="Q81" s="121"/>
    </row>
    <row r="82" spans="1:17" ht="18.75" customHeight="1" thickTop="1" x14ac:dyDescent="0.15">
      <c r="C82" s="231" t="s">
        <v>41</v>
      </c>
      <c r="D82" s="173" t="s">
        <v>26</v>
      </c>
      <c r="E82" s="232" t="e">
        <f>IF(INT(LEFT($D$4,1))&lt;4,2.15,4.59)</f>
        <v>#VALUE!</v>
      </c>
      <c r="F82" s="63"/>
      <c r="G82" s="233">
        <v>1</v>
      </c>
      <c r="H82" s="232" t="e">
        <f t="shared" ref="H82:H97" si="16">E82*F82*G82</f>
        <v>#VALUE!</v>
      </c>
      <c r="I82" s="58"/>
      <c r="J82" s="232">
        <v>0.51</v>
      </c>
      <c r="K82" s="234" t="e">
        <f>INDEX(方位係数!$B$2:$J$10,MATCH($D82,方位係数!$A$2:$A$10,0),MATCH($D$4,方位係数!$B$1:$J$1))</f>
        <v>#N/A</v>
      </c>
      <c r="L82" s="234" t="e">
        <f t="shared" ref="L82:L98" si="17">$I82*$K82*$J82*$E82</f>
        <v>#N/A</v>
      </c>
      <c r="M82" s="232">
        <v>0.93</v>
      </c>
      <c r="N82" s="234" t="e">
        <f>INDEX(方位係数!$B$13:$J$21,MATCH($D82,方位係数!$A$13:$A$21,0),MATCH($D$4,方位係数!$B$12:$J$12))</f>
        <v>#N/A</v>
      </c>
      <c r="O82" s="234" t="e">
        <f t="shared" ref="O82:O98" si="18">$I82*$N82*$M82*$E82</f>
        <v>#N/A</v>
      </c>
      <c r="P82" s="309" t="s">
        <v>213</v>
      </c>
      <c r="Q82" s="311" t="s">
        <v>442</v>
      </c>
    </row>
    <row r="83" spans="1:17" ht="18.75" customHeight="1" x14ac:dyDescent="0.15">
      <c r="C83" s="235" t="s">
        <v>198</v>
      </c>
      <c r="D83" s="177" t="s">
        <v>26</v>
      </c>
      <c r="E83" s="236" t="e">
        <f>IF(INT(LEFT($D$4,1))&lt;4,2.97,3.47)</f>
        <v>#VALUE!</v>
      </c>
      <c r="F83" s="64"/>
      <c r="G83" s="237">
        <v>1</v>
      </c>
      <c r="H83" s="236" t="e">
        <f t="shared" si="16"/>
        <v>#VALUE!</v>
      </c>
      <c r="I83" s="59"/>
      <c r="J83" s="236">
        <v>0.51</v>
      </c>
      <c r="K83" s="238" t="e">
        <f>INDEX(方位係数!$B$2:$J$10,MATCH($D83,方位係数!$A$2:$A$10,0),MATCH($D$4,方位係数!$B$1:$J$1))</f>
        <v>#N/A</v>
      </c>
      <c r="L83" s="238" t="e">
        <f t="shared" si="17"/>
        <v>#N/A</v>
      </c>
      <c r="M83" s="236">
        <v>0.93</v>
      </c>
      <c r="N83" s="238" t="e">
        <f>INDEX(方位係数!$B$13:$J$21,MATCH($D83,方位係数!$A$13:$A$21,0),MATCH($D$4,方位係数!$B$12:$J$12))</f>
        <v>#N/A</v>
      </c>
      <c r="O83" s="238" t="e">
        <f t="shared" si="18"/>
        <v>#N/A</v>
      </c>
      <c r="P83" s="309"/>
      <c r="Q83" s="312"/>
    </row>
    <row r="84" spans="1:17" ht="18.75" customHeight="1" x14ac:dyDescent="0.15">
      <c r="C84" s="235" t="s">
        <v>198</v>
      </c>
      <c r="D84" s="177" t="s">
        <v>26</v>
      </c>
      <c r="E84" s="236" t="e">
        <f>IF(INT(LEFT($D$4,1))&lt;4,2.15,3.47)</f>
        <v>#VALUE!</v>
      </c>
      <c r="F84" s="64"/>
      <c r="G84" s="237">
        <v>1</v>
      </c>
      <c r="H84" s="236" t="e">
        <f t="shared" si="16"/>
        <v>#VALUE!</v>
      </c>
      <c r="I84" s="59"/>
      <c r="J84" s="236">
        <v>0.51</v>
      </c>
      <c r="K84" s="238" t="e">
        <f>INDEX(方位係数!$B$2:$J$10,MATCH($D84,方位係数!$A$2:$A$10,0),MATCH($D$4,方位係数!$B$1:$J$1))</f>
        <v>#N/A</v>
      </c>
      <c r="L84" s="238" t="e">
        <f t="shared" si="17"/>
        <v>#N/A</v>
      </c>
      <c r="M84" s="236">
        <v>0.93</v>
      </c>
      <c r="N84" s="238" t="e">
        <f>INDEX(方位係数!$B$13:$J$21,MATCH($D84,方位係数!$A$13:$A$21,0),MATCH($D$4,方位係数!$B$12:$J$12))</f>
        <v>#N/A</v>
      </c>
      <c r="O84" s="238" t="e">
        <f t="shared" si="18"/>
        <v>#N/A</v>
      </c>
      <c r="P84" s="309"/>
      <c r="Q84" s="312"/>
    </row>
    <row r="85" spans="1:17" ht="18.75" customHeight="1" x14ac:dyDescent="0.15">
      <c r="C85" s="235" t="s">
        <v>198</v>
      </c>
      <c r="D85" s="177" t="s">
        <v>29</v>
      </c>
      <c r="E85" s="236">
        <v>2.15</v>
      </c>
      <c r="F85" s="64"/>
      <c r="G85" s="237">
        <v>1</v>
      </c>
      <c r="H85" s="236">
        <f t="shared" si="16"/>
        <v>0</v>
      </c>
      <c r="I85" s="59"/>
      <c r="J85" s="236">
        <v>0.51</v>
      </c>
      <c r="K85" s="238" t="e">
        <f>INDEX(方位係数!$B$2:$J$10,MATCH($D85,方位係数!$A$2:$A$10,0),MATCH($D$4,方位係数!$B$1:$J$1))</f>
        <v>#N/A</v>
      </c>
      <c r="L85" s="238" t="e">
        <f t="shared" si="17"/>
        <v>#N/A</v>
      </c>
      <c r="M85" s="236">
        <v>0.93</v>
      </c>
      <c r="N85" s="238" t="e">
        <f>INDEX(方位係数!$B$13:$J$21,MATCH($D85,方位係数!$A$13:$A$21,0),MATCH($D$4,方位係数!$B$12:$J$12))</f>
        <v>#N/A</v>
      </c>
      <c r="O85" s="238" t="e">
        <f t="shared" si="18"/>
        <v>#N/A</v>
      </c>
      <c r="P85" s="309"/>
      <c r="Q85" s="312"/>
    </row>
    <row r="86" spans="1:17" ht="18.75" customHeight="1" x14ac:dyDescent="0.15">
      <c r="C86" s="235" t="s">
        <v>42</v>
      </c>
      <c r="D86" s="177" t="s">
        <v>29</v>
      </c>
      <c r="E86" s="236" t="e">
        <f>IF(INT(LEFT($D$4,1))&lt;4,0.6,0.98)</f>
        <v>#VALUE!</v>
      </c>
      <c r="F86" s="64"/>
      <c r="G86" s="237">
        <v>1</v>
      </c>
      <c r="H86" s="236" t="e">
        <f t="shared" si="16"/>
        <v>#VALUE!</v>
      </c>
      <c r="I86" s="59"/>
      <c r="J86" s="236">
        <v>0.51</v>
      </c>
      <c r="K86" s="238" t="e">
        <f>INDEX(方位係数!$B$2:$J$10,MATCH($D86,方位係数!$A$2:$A$10,0),MATCH($D$4,方位係数!$B$1:$J$1))</f>
        <v>#N/A</v>
      </c>
      <c r="L86" s="238" t="e">
        <f t="shared" si="17"/>
        <v>#N/A</v>
      </c>
      <c r="M86" s="236">
        <v>0.93</v>
      </c>
      <c r="N86" s="238" t="e">
        <f>INDEX(方位係数!$B$13:$J$21,MATCH($D86,方位係数!$A$13:$A$21,0),MATCH($D$4,方位係数!$B$12:$J$12))</f>
        <v>#N/A</v>
      </c>
      <c r="O86" s="238" t="e">
        <f t="shared" si="18"/>
        <v>#N/A</v>
      </c>
      <c r="Q86" s="312"/>
    </row>
    <row r="87" spans="1:17" ht="18.75" customHeight="1" x14ac:dyDescent="0.15">
      <c r="C87" s="235" t="s">
        <v>43</v>
      </c>
      <c r="D87" s="177" t="s">
        <v>27</v>
      </c>
      <c r="E87" s="236" t="e">
        <f>IF(INT(LEFT($D$4,1))&lt;4,0.35,0.54)</f>
        <v>#VALUE!</v>
      </c>
      <c r="F87" s="64"/>
      <c r="G87" s="237">
        <v>1</v>
      </c>
      <c r="H87" s="236" t="e">
        <f>E87*F87*G87</f>
        <v>#VALUE!</v>
      </c>
      <c r="I87" s="59"/>
      <c r="J87" s="236">
        <v>0.51</v>
      </c>
      <c r="K87" s="238" t="e">
        <f>INDEX(方位係数!$B$2:$J$10,MATCH($D87,方位係数!$A$2:$A$10,0),MATCH($D$4,方位係数!$B$1:$J$1))</f>
        <v>#N/A</v>
      </c>
      <c r="L87" s="238" t="e">
        <f t="shared" si="17"/>
        <v>#N/A</v>
      </c>
      <c r="M87" s="236">
        <v>0.93</v>
      </c>
      <c r="N87" s="238" t="e">
        <f>INDEX(方位係数!$B$13:$J$21,MATCH($D87,方位係数!$A$13:$A$21,0),MATCH($D$4,方位係数!$B$12:$J$12))</f>
        <v>#N/A</v>
      </c>
      <c r="O87" s="238" t="e">
        <f t="shared" si="18"/>
        <v>#N/A</v>
      </c>
      <c r="Q87" s="312"/>
    </row>
    <row r="88" spans="1:17" ht="18.75" customHeight="1" thickBot="1" x14ac:dyDescent="0.2">
      <c r="C88" s="235" t="s">
        <v>44</v>
      </c>
      <c r="D88" s="177" t="s">
        <v>28</v>
      </c>
      <c r="E88" s="236" t="e">
        <f>IF(INT(LEFT($D$4,1))&lt;4,0.35,0.54)</f>
        <v>#VALUE!</v>
      </c>
      <c r="F88" s="64"/>
      <c r="G88" s="237">
        <v>1</v>
      </c>
      <c r="H88" s="236" t="e">
        <f t="shared" si="16"/>
        <v>#VALUE!</v>
      </c>
      <c r="I88" s="59"/>
      <c r="J88" s="236">
        <v>0.51</v>
      </c>
      <c r="K88" s="238" t="e">
        <f>INDEX(方位係数!$B$2:$J$10,MATCH($D88,方位係数!$A$2:$A$10,0),MATCH($D$4,方位係数!$B$1:$J$1))</f>
        <v>#N/A</v>
      </c>
      <c r="L88" s="238" t="e">
        <f t="shared" si="17"/>
        <v>#N/A</v>
      </c>
      <c r="M88" s="236">
        <v>0.93</v>
      </c>
      <c r="N88" s="238" t="e">
        <f>INDEX(方位係数!$B$13:$J$21,MATCH($D88,方位係数!$A$13:$A$21,0),MATCH($D$4,方位係数!$B$12:$J$12))</f>
        <v>#N/A</v>
      </c>
      <c r="O88" s="238" t="e">
        <f t="shared" si="18"/>
        <v>#N/A</v>
      </c>
      <c r="Q88" s="313"/>
    </row>
    <row r="89" spans="1:17" ht="18.75" customHeight="1" thickTop="1" x14ac:dyDescent="0.15">
      <c r="C89" s="235" t="s">
        <v>45</v>
      </c>
      <c r="D89" s="177" t="s">
        <v>28</v>
      </c>
      <c r="E89" s="236" t="e">
        <f>IF(INT(LEFT($D$4,1))&lt;4,0.35,0.54)</f>
        <v>#VALUE!</v>
      </c>
      <c r="F89" s="64"/>
      <c r="G89" s="237">
        <v>1</v>
      </c>
      <c r="H89" s="236" t="e">
        <f t="shared" si="16"/>
        <v>#VALUE!</v>
      </c>
      <c r="I89" s="59"/>
      <c r="J89" s="236">
        <v>0.51</v>
      </c>
      <c r="K89" s="238" t="e">
        <f>INDEX(方位係数!$B$2:$J$10,MATCH($D89,方位係数!$A$2:$A$10,0),MATCH($D$4,方位係数!$B$1:$J$1))</f>
        <v>#N/A</v>
      </c>
      <c r="L89" s="238" t="e">
        <f t="shared" si="17"/>
        <v>#N/A</v>
      </c>
      <c r="M89" s="236">
        <v>0.93</v>
      </c>
      <c r="N89" s="238" t="e">
        <f>INDEX(方位係数!$B$13:$J$21,MATCH($D89,方位係数!$A$13:$A$21,0),MATCH($D$4,方位係数!$B$12:$J$12))</f>
        <v>#N/A</v>
      </c>
      <c r="O89" s="238" t="e">
        <f t="shared" si="18"/>
        <v>#N/A</v>
      </c>
    </row>
    <row r="90" spans="1:17" ht="18.75" customHeight="1" x14ac:dyDescent="0.15">
      <c r="C90" s="235" t="s">
        <v>46</v>
      </c>
      <c r="D90" s="177" t="s">
        <v>28</v>
      </c>
      <c r="E90" s="236" t="e">
        <f>IF(INT(LEFT($D$4,1))&lt;4,0.35,0.54)</f>
        <v>#VALUE!</v>
      </c>
      <c r="F90" s="64"/>
      <c r="G90" s="237">
        <v>1</v>
      </c>
      <c r="H90" s="236" t="e">
        <f t="shared" si="16"/>
        <v>#VALUE!</v>
      </c>
      <c r="I90" s="59"/>
      <c r="J90" s="236">
        <v>0.51</v>
      </c>
      <c r="K90" s="238" t="e">
        <f>INDEX(方位係数!$B$2:$J$10,MATCH($D90,方位係数!$A$2:$A$10,0),MATCH($D$4,方位係数!$B$1:$J$1))</f>
        <v>#N/A</v>
      </c>
      <c r="L90" s="238" t="e">
        <f t="shared" si="17"/>
        <v>#N/A</v>
      </c>
      <c r="M90" s="236">
        <v>0.93</v>
      </c>
      <c r="N90" s="238" t="e">
        <f>INDEX(方位係数!$B$13:$J$21,MATCH($D90,方位係数!$A$13:$A$21,0),MATCH($D$4,方位係数!$B$12:$J$12))</f>
        <v>#N/A</v>
      </c>
      <c r="O90" s="238" t="e">
        <f t="shared" si="18"/>
        <v>#N/A</v>
      </c>
    </row>
    <row r="91" spans="1:17" ht="31.5" customHeight="1" x14ac:dyDescent="0.15">
      <c r="C91" s="239" t="s">
        <v>87</v>
      </c>
      <c r="D91" s="177" t="s">
        <v>27</v>
      </c>
      <c r="E91" s="236" t="e">
        <f>IF(INT(LEFT($D$4,1))&lt;4,0,0.54)</f>
        <v>#VALUE!</v>
      </c>
      <c r="F91" s="64"/>
      <c r="G91" s="237">
        <v>1</v>
      </c>
      <c r="H91" s="236" t="e">
        <f t="shared" si="16"/>
        <v>#VALUE!</v>
      </c>
      <c r="I91" s="59"/>
      <c r="J91" s="236">
        <v>0.51</v>
      </c>
      <c r="K91" s="238" t="e">
        <f>INDEX(方位係数!$B$2:$J$10,MATCH($D91,方位係数!$A$2:$A$10,0),MATCH($D$4,方位係数!$B$1:$J$1))</f>
        <v>#N/A</v>
      </c>
      <c r="L91" s="238" t="e">
        <f t="shared" si="17"/>
        <v>#N/A</v>
      </c>
      <c r="M91" s="236">
        <v>0.93</v>
      </c>
      <c r="N91" s="238" t="e">
        <f>INDEX(方位係数!$B$13:$J$21,MATCH($D91,方位係数!$A$13:$A$21,0),MATCH($D$4,方位係数!$B$12:$J$12))</f>
        <v>#N/A</v>
      </c>
      <c r="O91" s="238" t="e">
        <f t="shared" si="18"/>
        <v>#N/A</v>
      </c>
    </row>
    <row r="92" spans="1:17" ht="18.75" customHeight="1" x14ac:dyDescent="0.15">
      <c r="C92" s="235" t="s">
        <v>47</v>
      </c>
      <c r="D92" s="177" t="s">
        <v>27</v>
      </c>
      <c r="E92" s="236" t="e">
        <f>IF(INT(LEFT($D$4,1))&lt;4,1.31,1.73)</f>
        <v>#VALUE!</v>
      </c>
      <c r="F92" s="64"/>
      <c r="G92" s="237">
        <v>1</v>
      </c>
      <c r="H92" s="236" t="e">
        <f t="shared" si="16"/>
        <v>#VALUE!</v>
      </c>
      <c r="I92" s="59"/>
      <c r="J92" s="236">
        <v>0.51</v>
      </c>
      <c r="K92" s="238" t="e">
        <f>INDEX(方位係数!$B$2:$J$10,MATCH($D92,方位係数!$A$2:$A$10,0),MATCH($D$4,方位係数!$B$1:$J$1))</f>
        <v>#N/A</v>
      </c>
      <c r="L92" s="238" t="e">
        <f t="shared" si="17"/>
        <v>#N/A</v>
      </c>
      <c r="M92" s="236">
        <v>0.93</v>
      </c>
      <c r="N92" s="238" t="e">
        <f>INDEX(方位係数!$B$13:$J$21,MATCH($D92,方位係数!$A$13:$A$21,0),MATCH($D$4,方位係数!$B$12:$J$12))</f>
        <v>#N/A</v>
      </c>
      <c r="O92" s="238" t="e">
        <f t="shared" si="18"/>
        <v>#N/A</v>
      </c>
      <c r="P92" s="120"/>
    </row>
    <row r="93" spans="1:17" ht="18.75" customHeight="1" x14ac:dyDescent="0.15">
      <c r="C93" s="235" t="s">
        <v>47</v>
      </c>
      <c r="D93" s="177" t="s">
        <v>26</v>
      </c>
      <c r="E93" s="236" t="e">
        <f>IF(INT(LEFT($D$4,1))&lt;4,1.82,0.99)</f>
        <v>#VALUE!</v>
      </c>
      <c r="F93" s="64"/>
      <c r="G93" s="237">
        <v>1</v>
      </c>
      <c r="H93" s="236" t="e">
        <f t="shared" si="16"/>
        <v>#VALUE!</v>
      </c>
      <c r="I93" s="59"/>
      <c r="J93" s="236">
        <v>0.51</v>
      </c>
      <c r="K93" s="238" t="e">
        <f>INDEX(方位係数!$B$2:$J$10,MATCH($D93,方位係数!$A$2:$A$10,0),MATCH($D$4,方位係数!$B$1:$J$1))</f>
        <v>#N/A</v>
      </c>
      <c r="L93" s="238" t="e">
        <f t="shared" si="17"/>
        <v>#N/A</v>
      </c>
      <c r="M93" s="236">
        <v>0.93</v>
      </c>
      <c r="N93" s="238" t="e">
        <f>INDEX(方位係数!$B$13:$J$21,MATCH($D93,方位係数!$A$13:$A$21,0),MATCH($D$4,方位係数!$B$12:$J$12))</f>
        <v>#N/A</v>
      </c>
      <c r="O93" s="238" t="e">
        <f t="shared" si="18"/>
        <v>#N/A</v>
      </c>
      <c r="P93" s="120"/>
    </row>
    <row r="94" spans="1:17" ht="18.75" customHeight="1" x14ac:dyDescent="0.15">
      <c r="C94" s="235" t="s">
        <v>48</v>
      </c>
      <c r="D94" s="177" t="s">
        <v>26</v>
      </c>
      <c r="E94" s="236" t="e">
        <f>IF(INT(LEFT($D$4,1))&lt;4,2.97,3.22)</f>
        <v>#VALUE!</v>
      </c>
      <c r="F94" s="64"/>
      <c r="G94" s="237">
        <v>1</v>
      </c>
      <c r="H94" s="236" t="e">
        <f t="shared" si="16"/>
        <v>#VALUE!</v>
      </c>
      <c r="I94" s="59"/>
      <c r="J94" s="236">
        <v>0.51</v>
      </c>
      <c r="K94" s="238" t="e">
        <f>INDEX(方位係数!$B$2:$J$10,MATCH($D94,方位係数!$A$2:$A$10,0),MATCH($D$4,方位係数!$B$1:$J$1))</f>
        <v>#N/A</v>
      </c>
      <c r="L94" s="238" t="e">
        <f t="shared" si="17"/>
        <v>#N/A</v>
      </c>
      <c r="M94" s="236">
        <v>0.93</v>
      </c>
      <c r="N94" s="238" t="e">
        <f>INDEX(方位係数!$B$13:$J$21,MATCH($D94,方位係数!$A$13:$A$21,0),MATCH($D$4,方位係数!$B$12:$J$12))</f>
        <v>#N/A</v>
      </c>
      <c r="O94" s="238" t="e">
        <f t="shared" si="18"/>
        <v>#N/A</v>
      </c>
      <c r="P94" s="120"/>
    </row>
    <row r="95" spans="1:17" ht="18.75" customHeight="1" x14ac:dyDescent="0.15">
      <c r="C95" s="235" t="s">
        <v>49</v>
      </c>
      <c r="D95" s="177" t="s">
        <v>26</v>
      </c>
      <c r="E95" s="236" t="e">
        <f>IF(INT(LEFT($D$4,1))&lt;4,2.97,3.22)</f>
        <v>#VALUE!</v>
      </c>
      <c r="F95" s="64"/>
      <c r="G95" s="237">
        <v>1</v>
      </c>
      <c r="H95" s="236" t="e">
        <f t="shared" si="16"/>
        <v>#VALUE!</v>
      </c>
      <c r="I95" s="59"/>
      <c r="J95" s="236">
        <v>0.51</v>
      </c>
      <c r="K95" s="238" t="e">
        <f>INDEX(方位係数!$B$2:$J$10,MATCH($D95,方位係数!$A$2:$A$10,0),MATCH($D$4,方位係数!$B$1:$J$1))</f>
        <v>#N/A</v>
      </c>
      <c r="L95" s="238" t="e">
        <f t="shared" si="17"/>
        <v>#N/A</v>
      </c>
      <c r="M95" s="236">
        <v>0.93</v>
      </c>
      <c r="N95" s="238" t="e">
        <f>INDEX(方位係数!$B$13:$J$21,MATCH($D95,方位係数!$A$13:$A$21,0),MATCH($D$4,方位係数!$B$12:$J$12))</f>
        <v>#N/A</v>
      </c>
      <c r="O95" s="238" t="e">
        <f t="shared" si="18"/>
        <v>#N/A</v>
      </c>
      <c r="P95" s="120"/>
    </row>
    <row r="96" spans="1:17" ht="18.75" customHeight="1" x14ac:dyDescent="0.15">
      <c r="C96" s="235" t="s">
        <v>49</v>
      </c>
      <c r="D96" s="177" t="s">
        <v>29</v>
      </c>
      <c r="E96" s="236" t="e">
        <f>IF(INT(LEFT($D$4,1))&lt;4,0.35,0.66)</f>
        <v>#VALUE!</v>
      </c>
      <c r="F96" s="64"/>
      <c r="G96" s="237">
        <v>1</v>
      </c>
      <c r="H96" s="236" t="e">
        <f t="shared" si="16"/>
        <v>#VALUE!</v>
      </c>
      <c r="I96" s="59"/>
      <c r="J96" s="236">
        <v>0.51</v>
      </c>
      <c r="K96" s="238" t="e">
        <f>INDEX(方位係数!$B$2:$J$10,MATCH($D96,方位係数!$A$2:$A$10,0),MATCH($D$4,方位係数!$B$1:$J$1))</f>
        <v>#N/A</v>
      </c>
      <c r="L96" s="238" t="e">
        <f t="shared" si="17"/>
        <v>#N/A</v>
      </c>
      <c r="M96" s="236">
        <v>0.93</v>
      </c>
      <c r="N96" s="238" t="e">
        <f>INDEX(方位係数!$B$13:$J$21,MATCH($D96,方位係数!$A$13:$A$21,0),MATCH($D$4,方位係数!$B$12:$J$12))</f>
        <v>#N/A</v>
      </c>
      <c r="O96" s="238" t="e">
        <f t="shared" si="18"/>
        <v>#N/A</v>
      </c>
      <c r="P96" s="120"/>
    </row>
    <row r="97" spans="1:17" ht="18.75" customHeight="1" x14ac:dyDescent="0.15">
      <c r="C97" s="235" t="s">
        <v>50</v>
      </c>
      <c r="D97" s="177" t="s">
        <v>28</v>
      </c>
      <c r="E97" s="236" t="e">
        <f>IF(INT(LEFT($D$4,1))&lt;4,0.84,0.99)</f>
        <v>#VALUE!</v>
      </c>
      <c r="F97" s="64"/>
      <c r="G97" s="237">
        <v>1</v>
      </c>
      <c r="H97" s="236" t="e">
        <f t="shared" si="16"/>
        <v>#VALUE!</v>
      </c>
      <c r="I97" s="59"/>
      <c r="J97" s="236">
        <v>0.51</v>
      </c>
      <c r="K97" s="238" t="e">
        <f>INDEX(方位係数!$B$2:$J$10,MATCH($D97,方位係数!$A$2:$A$10,0),MATCH($D$4,方位係数!$B$1:$J$1))</f>
        <v>#N/A</v>
      </c>
      <c r="L97" s="238" t="e">
        <f t="shared" si="17"/>
        <v>#N/A</v>
      </c>
      <c r="M97" s="236">
        <v>0.93</v>
      </c>
      <c r="N97" s="238" t="e">
        <f>INDEX(方位係数!$B$13:$J$21,MATCH($D97,方位係数!$A$13:$A$21,0),MATCH($D$4,方位係数!$B$12:$J$12))</f>
        <v>#N/A</v>
      </c>
      <c r="O97" s="238" t="e">
        <f t="shared" si="18"/>
        <v>#N/A</v>
      </c>
    </row>
    <row r="98" spans="1:17" ht="18.75" customHeight="1" thickBot="1" x14ac:dyDescent="0.2">
      <c r="C98" s="230" t="s">
        <v>44</v>
      </c>
      <c r="D98" s="181" t="s">
        <v>28</v>
      </c>
      <c r="E98" s="240" t="e">
        <f>IF(INT(LEFT($D$4,1))&lt;4,0.35,0.54)</f>
        <v>#VALUE!</v>
      </c>
      <c r="F98" s="65"/>
      <c r="G98" s="241">
        <v>1</v>
      </c>
      <c r="H98" s="240" t="e">
        <f>E98*F98*G98</f>
        <v>#VALUE!</v>
      </c>
      <c r="I98" s="60"/>
      <c r="J98" s="240">
        <v>0.51</v>
      </c>
      <c r="K98" s="242" t="e">
        <f>INDEX(方位係数!$B$2:$J$10,MATCH($D98,方位係数!$A$2:$A$10,0),MATCH($D$4,方位係数!$B$1:$J$1))</f>
        <v>#N/A</v>
      </c>
      <c r="L98" s="242" t="e">
        <f t="shared" si="17"/>
        <v>#N/A</v>
      </c>
      <c r="M98" s="240">
        <v>0.93</v>
      </c>
      <c r="N98" s="242" t="e">
        <f>INDEX(方位係数!$B$13:$J$21,MATCH($D98,方位係数!$A$13:$A$21,0),MATCH($D$4,方位係数!$B$12:$J$12))</f>
        <v>#N/A</v>
      </c>
      <c r="O98" s="242" t="e">
        <f t="shared" si="18"/>
        <v>#N/A</v>
      </c>
    </row>
    <row r="99" spans="1:17" ht="18.75" customHeight="1" thickTop="1" x14ac:dyDescent="0.15">
      <c r="C99" s="400" t="s">
        <v>51</v>
      </c>
      <c r="D99" s="400"/>
      <c r="E99" s="243" t="e">
        <f>SUM(E82:E98)</f>
        <v>#VALUE!</v>
      </c>
      <c r="F99" s="167"/>
      <c r="G99" s="187" t="s">
        <v>199</v>
      </c>
      <c r="H99" s="243" t="e">
        <f>SUM(H82:H98)</f>
        <v>#VALUE!</v>
      </c>
      <c r="I99" s="167"/>
      <c r="J99" s="167"/>
      <c r="K99" s="187" t="s">
        <v>201</v>
      </c>
      <c r="L99" s="244" t="e">
        <f>SUM(L82:L98)</f>
        <v>#N/A</v>
      </c>
      <c r="M99" s="188"/>
      <c r="N99" s="187" t="s">
        <v>200</v>
      </c>
      <c r="O99" s="244" t="e">
        <f>SUM(O82:O98)</f>
        <v>#N/A</v>
      </c>
    </row>
    <row r="100" spans="1:17" x14ac:dyDescent="0.15">
      <c r="C100" s="127" t="s">
        <v>383</v>
      </c>
    </row>
    <row r="101" spans="1:17" x14ac:dyDescent="0.15">
      <c r="C101" s="127" t="s">
        <v>384</v>
      </c>
    </row>
    <row r="103" spans="1:17" x14ac:dyDescent="0.15">
      <c r="B103" s="119" t="s">
        <v>55</v>
      </c>
    </row>
    <row r="104" spans="1:17" ht="17.25" customHeight="1" x14ac:dyDescent="0.15">
      <c r="C104" s="379" t="s">
        <v>21</v>
      </c>
      <c r="D104" s="379"/>
      <c r="E104" s="379"/>
      <c r="F104" s="374" t="s">
        <v>56</v>
      </c>
      <c r="G104" s="375"/>
      <c r="H104" s="374" t="s">
        <v>57</v>
      </c>
      <c r="I104" s="375"/>
      <c r="J104" s="374" t="s">
        <v>58</v>
      </c>
      <c r="K104" s="375"/>
      <c r="L104" s="374" t="s">
        <v>59</v>
      </c>
      <c r="M104" s="375"/>
    </row>
    <row r="105" spans="1:17" x14ac:dyDescent="0.15">
      <c r="C105" s="376" t="s">
        <v>60</v>
      </c>
      <c r="D105" s="377"/>
      <c r="E105" s="378"/>
      <c r="F105" s="245" t="s">
        <v>204</v>
      </c>
      <c r="G105" s="208" t="e">
        <f>$F$21</f>
        <v>#VALUE!</v>
      </c>
      <c r="H105" s="245" t="s">
        <v>61</v>
      </c>
      <c r="I105" s="186" t="e">
        <f>$I$21</f>
        <v>#VALUE!</v>
      </c>
      <c r="J105" s="245" t="s">
        <v>374</v>
      </c>
      <c r="K105" s="246" t="e">
        <f>$N$21</f>
        <v>#N/A</v>
      </c>
      <c r="L105" s="245" t="s">
        <v>205</v>
      </c>
      <c r="M105" s="189" t="e">
        <f>$L$21</f>
        <v>#N/A</v>
      </c>
    </row>
    <row r="106" spans="1:17" s="1" customFormat="1" ht="19.5" thickBot="1" x14ac:dyDescent="0.2">
      <c r="A106" s="119"/>
      <c r="B106" s="119"/>
      <c r="C106" s="376" t="str">
        <f>IF($N$4="床断熱","床・基礎壁・土間外周","基礎壁・土間外周")</f>
        <v>基礎壁・土間外周</v>
      </c>
      <c r="D106" s="377"/>
      <c r="E106" s="378"/>
      <c r="F106" s="192" t="str">
        <f>IF($N$4="床断熱","A2","A3")</f>
        <v>A3</v>
      </c>
      <c r="G106" s="194">
        <f>IF($N$4="床断熱",$F$34,$F$49)</f>
        <v>0</v>
      </c>
      <c r="H106" s="192" t="s">
        <v>420</v>
      </c>
      <c r="I106" s="186">
        <f>IF($N$4="床断熱",$I$34+$I40,$I$49+$I$52)</f>
        <v>0</v>
      </c>
      <c r="J106" s="245" t="s">
        <v>421</v>
      </c>
      <c r="K106" s="246" t="e">
        <f>IF($N$4="床断熱",$N$34,$N$49)</f>
        <v>#N/A</v>
      </c>
      <c r="L106" s="245" t="s">
        <v>422</v>
      </c>
      <c r="M106" s="246" t="e">
        <f>IF($N$4="床断熱",$L$34,$L$49)</f>
        <v>#N/A</v>
      </c>
      <c r="N106" s="247"/>
      <c r="O106" s="247"/>
      <c r="P106" s="122"/>
      <c r="Q106" s="247"/>
    </row>
    <row r="107" spans="1:17" s="1" customFormat="1" ht="19.5" thickTop="1" x14ac:dyDescent="0.15">
      <c r="A107" s="119"/>
      <c r="B107" s="119"/>
      <c r="C107" s="376" t="str">
        <f>IF($I$4="天井断熱","天井","屋根・妻壁")</f>
        <v>屋根・妻壁</v>
      </c>
      <c r="D107" s="377"/>
      <c r="E107" s="378"/>
      <c r="F107" s="192" t="str">
        <f>IF($I$4="天井断熱","A4","A5")</f>
        <v>A5</v>
      </c>
      <c r="G107" s="194">
        <f>IF($I$4="天井断熱",$F$58,$F$72)</f>
        <v>0</v>
      </c>
      <c r="H107" s="192" t="str">
        <f>IF($I$4="天井断熱","q4","q5")</f>
        <v>q5</v>
      </c>
      <c r="I107" s="186">
        <f>IF($I$4="天井断熱",$I$58,$I$72)</f>
        <v>0</v>
      </c>
      <c r="J107" s="192" t="str">
        <f>IF($I$4="天井断熱","mc4","mc5")</f>
        <v>mc5</v>
      </c>
      <c r="K107" s="189" t="e">
        <f>IF($I$4="天井断熱",$N$58,$N$72)</f>
        <v>#N/A</v>
      </c>
      <c r="L107" s="192" t="str">
        <f>IF($I$4="天井断熱","mH4","mH5")</f>
        <v>mH5</v>
      </c>
      <c r="M107" s="189" t="e">
        <f>IF($I$4="天井断熱",$L$58,$L$72)</f>
        <v>#N/A</v>
      </c>
      <c r="N107" s="247"/>
      <c r="O107" s="247"/>
      <c r="P107" s="122"/>
      <c r="Q107" s="311" t="s">
        <v>522</v>
      </c>
    </row>
    <row r="108" spans="1:17" s="1" customFormat="1" x14ac:dyDescent="0.15">
      <c r="A108" s="119"/>
      <c r="B108" s="119"/>
      <c r="C108" s="376" t="s">
        <v>62</v>
      </c>
      <c r="D108" s="377"/>
      <c r="E108" s="378"/>
      <c r="F108" s="245" t="s">
        <v>63</v>
      </c>
      <c r="G108" s="186" t="e">
        <f>$E$99</f>
        <v>#VALUE!</v>
      </c>
      <c r="H108" s="245" t="s">
        <v>64</v>
      </c>
      <c r="I108" s="186" t="e">
        <f>$H$99</f>
        <v>#VALUE!</v>
      </c>
      <c r="J108" s="245" t="s">
        <v>206</v>
      </c>
      <c r="K108" s="189" t="e">
        <f>$O$99</f>
        <v>#N/A</v>
      </c>
      <c r="L108" s="245" t="s">
        <v>207</v>
      </c>
      <c r="M108" s="189" t="e">
        <f>$L$99</f>
        <v>#N/A</v>
      </c>
      <c r="N108" s="247"/>
      <c r="O108" s="247"/>
      <c r="P108" s="122"/>
      <c r="Q108" s="312"/>
    </row>
    <row r="109" spans="1:17" s="1" customFormat="1" ht="19.5" thickBot="1" x14ac:dyDescent="0.2">
      <c r="A109" s="119"/>
      <c r="B109" s="119"/>
      <c r="C109" s="397" t="s">
        <v>65</v>
      </c>
      <c r="D109" s="398"/>
      <c r="E109" s="399"/>
      <c r="F109" s="248" t="s">
        <v>208</v>
      </c>
      <c r="G109" s="218" t="e">
        <f>$E$78</f>
        <v>#VALUE!</v>
      </c>
      <c r="H109" s="248" t="s">
        <v>209</v>
      </c>
      <c r="I109" s="218" t="e">
        <f>$H$78</f>
        <v>#VALUE!</v>
      </c>
      <c r="J109" s="248" t="s">
        <v>210</v>
      </c>
      <c r="K109" s="249" t="e">
        <f>$M$78</f>
        <v>#N/A</v>
      </c>
      <c r="L109" s="248" t="s">
        <v>211</v>
      </c>
      <c r="M109" s="249" t="e">
        <f>$K$78</f>
        <v>#N/A</v>
      </c>
      <c r="N109" s="247"/>
      <c r="O109" s="247"/>
      <c r="P109" s="122"/>
      <c r="Q109" s="312"/>
    </row>
    <row r="110" spans="1:17" s="1" customFormat="1" ht="18" thickTop="1" thickBot="1" x14ac:dyDescent="0.2">
      <c r="A110" s="119"/>
      <c r="B110" s="119"/>
      <c r="C110" s="167"/>
      <c r="D110" s="167"/>
      <c r="E110" s="247"/>
      <c r="F110" s="247"/>
      <c r="G110" s="247"/>
      <c r="H110" s="250" t="s">
        <v>212</v>
      </c>
      <c r="I110" s="208" t="e">
        <f>SUM(I105:I109)</f>
        <v>#VALUE!</v>
      </c>
      <c r="J110" s="251" t="s">
        <v>216</v>
      </c>
      <c r="K110" s="252" t="e">
        <f>SUM(K105:K109)</f>
        <v>#N/A</v>
      </c>
      <c r="L110" s="251" t="s">
        <v>217</v>
      </c>
      <c r="M110" s="252" t="e">
        <f>SUM(M105:M109)</f>
        <v>#N/A</v>
      </c>
      <c r="N110" s="247"/>
      <c r="O110" s="247"/>
      <c r="P110" s="247"/>
      <c r="Q110" s="312"/>
    </row>
    <row r="111" spans="1:17" s="1" customFormat="1" ht="27" customHeight="1" thickTop="1" x14ac:dyDescent="0.15">
      <c r="A111" s="119"/>
      <c r="B111" s="119"/>
      <c r="C111" s="386" t="s">
        <v>375</v>
      </c>
      <c r="D111" s="387"/>
      <c r="E111" s="394" t="s">
        <v>327</v>
      </c>
      <c r="F111" s="395"/>
      <c r="G111" s="382" t="e">
        <f>SUM(G105:G109)</f>
        <v>#VALUE!</v>
      </c>
      <c r="H111" s="380" t="s">
        <v>324</v>
      </c>
      <c r="I111" s="382" t="e">
        <f>ROUNDUP(I110/$G$111,2)</f>
        <v>#VALUE!</v>
      </c>
      <c r="J111" s="392" t="s">
        <v>326</v>
      </c>
      <c r="K111" s="390" t="e">
        <f>ROUNDUP(K110/$G$111*100,1)</f>
        <v>#N/A</v>
      </c>
      <c r="L111" s="380" t="s">
        <v>325</v>
      </c>
      <c r="M111" s="390" t="e">
        <f>ROUNDDOWN(M110/$G$111*100,1)</f>
        <v>#N/A</v>
      </c>
      <c r="N111" s="384"/>
      <c r="O111" s="385"/>
      <c r="P111" s="373" t="s">
        <v>178</v>
      </c>
      <c r="Q111" s="312"/>
    </row>
    <row r="112" spans="1:17" s="1" customFormat="1" ht="27" customHeight="1" thickBot="1" x14ac:dyDescent="0.2">
      <c r="A112" s="119"/>
      <c r="B112" s="119"/>
      <c r="C112" s="388"/>
      <c r="D112" s="389"/>
      <c r="E112" s="393"/>
      <c r="F112" s="396"/>
      <c r="G112" s="383"/>
      <c r="H112" s="381"/>
      <c r="I112" s="383"/>
      <c r="J112" s="393"/>
      <c r="K112" s="391"/>
      <c r="L112" s="381"/>
      <c r="M112" s="391"/>
      <c r="N112" s="384"/>
      <c r="O112" s="385"/>
      <c r="P112" s="373"/>
      <c r="Q112" s="313"/>
    </row>
    <row r="113" ht="6" customHeight="1" x14ac:dyDescent="0.15"/>
    <row r="142" spans="3:4" hidden="1" x14ac:dyDescent="0.15">
      <c r="C142" s="119" t="str">
        <f>IF(COUNTIF($D$4,"*地域"),"good","Error")</f>
        <v>Error</v>
      </c>
      <c r="D142" s="119" t="s">
        <v>335</v>
      </c>
    </row>
    <row r="143" spans="3:4" hidden="1" x14ac:dyDescent="0.15">
      <c r="C143" s="119" t="str">
        <f>IF(COUNTIF($I$4,"*断熱"),"good","Error")</f>
        <v>Error</v>
      </c>
      <c r="D143" s="119" t="s">
        <v>336</v>
      </c>
    </row>
    <row r="144" spans="3:4" hidden="1" x14ac:dyDescent="0.15">
      <c r="C144" s="119" t="str">
        <f>IF(COUNTIF($N$4,"*断熱"),"good","Error")</f>
        <v>Error</v>
      </c>
      <c r="D144" s="119" t="s">
        <v>337</v>
      </c>
    </row>
    <row r="145" spans="3:16" hidden="1" x14ac:dyDescent="0.15">
      <c r="C145" s="119" t="str">
        <f>IF(COUNTBLANK($G$9:$G$20)&gt;0,"Error","")</f>
        <v>Error</v>
      </c>
      <c r="D145" s="119" t="s">
        <v>305</v>
      </c>
    </row>
    <row r="146" spans="3:16" hidden="1" x14ac:dyDescent="0.15">
      <c r="C146" s="119" t="str">
        <f>IF(AND($N$4="床断熱",G26=""),"Error","")</f>
        <v/>
      </c>
      <c r="D146" s="119" t="s">
        <v>392</v>
      </c>
    </row>
    <row r="147" spans="3:16" hidden="1" x14ac:dyDescent="0.15">
      <c r="C147" s="119" t="str">
        <f>IF(AND($N$4="床断熱",COUNTBLANK(G$28:G$33)&gt;0),"Error","")</f>
        <v/>
      </c>
      <c r="D147" s="119" t="s">
        <v>393</v>
      </c>
    </row>
    <row r="148" spans="3:16" hidden="1" x14ac:dyDescent="0.15">
      <c r="C148" s="119" t="str">
        <f>IF(AND($N$4="基礎断熱",G51=""),"Error","")</f>
        <v/>
      </c>
      <c r="D148" s="119" t="s">
        <v>394</v>
      </c>
    </row>
    <row r="149" spans="3:16" hidden="1" x14ac:dyDescent="0.15">
      <c r="C149" s="119" t="str">
        <f>IF(AND($I$4="天井断熱",COUNTBLANK(G$56:G$57)&gt;0),"Error","")</f>
        <v/>
      </c>
      <c r="D149" s="119" t="s">
        <v>395</v>
      </c>
    </row>
    <row r="150" spans="3:16" hidden="1" x14ac:dyDescent="0.15">
      <c r="C150" s="119" t="str">
        <f>IF(AND($I$4="屋根断熱",COUNTBLANK(G$62:G$64)&gt;0),"Error","")</f>
        <v/>
      </c>
      <c r="D150" s="119" t="s">
        <v>306</v>
      </c>
    </row>
    <row r="151" spans="3:16" hidden="1" x14ac:dyDescent="0.15">
      <c r="C151" s="119" t="str">
        <f>IF(AND($I$4="屋根断熱",COUNTBLANK(G$66:G$71)&gt;0),"Error","")</f>
        <v/>
      </c>
      <c r="D151" s="119" t="s">
        <v>307</v>
      </c>
    </row>
    <row r="152" spans="3:16" hidden="1" x14ac:dyDescent="0.15">
      <c r="C152" s="119" t="str">
        <f>IF(AND(OR($D$4="1地域",$D$4="2地域",$D$4="3地域"),OR(COUNTBLANK(F$82:F$90)&gt;0,COUNTBLANK(F$92:F$98)&gt;0)),"Error","")</f>
        <v/>
      </c>
      <c r="D152" s="119" t="s">
        <v>396</v>
      </c>
    </row>
    <row r="153" spans="3:16" hidden="1" x14ac:dyDescent="0.15">
      <c r="C153" s="119" t="str">
        <f>IF(AND(OR($D$4="4地域",$D$4="5地域",$D$4="6地域",$D$4="7地域",$D$4="8地域"),COUNTBLANK(F$82:F$98)&gt;0),"Error","")</f>
        <v/>
      </c>
      <c r="D153" s="119" t="s">
        <v>396</v>
      </c>
    </row>
    <row r="154" spans="3:16" hidden="1" x14ac:dyDescent="0.15">
      <c r="C154" s="119" t="str">
        <f>IF(AND(OR($D$4="1地域",$D$4="2地域",$D$4="3地域"),OR(COUNTBLANK(I$82:I$90)&gt;0,COUNTBLANK(I$92:I$98)&gt;0)),"Error","")</f>
        <v/>
      </c>
      <c r="D154" s="119" t="s">
        <v>397</v>
      </c>
    </row>
    <row r="155" spans="3:16" hidden="1" x14ac:dyDescent="0.15">
      <c r="C155" s="119" t="str">
        <f>IF(AND(OR($D$4="4地域",$D$4="5地域",$D$4="6地域",$D$4="7地域",$D$4="8地域"),COUNTBLANK(I$82:I$98)&gt;0),"Error","")</f>
        <v/>
      </c>
      <c r="D155" s="119" t="s">
        <v>397</v>
      </c>
    </row>
    <row r="156" spans="3:16" ht="24.75" hidden="1" x14ac:dyDescent="0.15">
      <c r="C156" s="119" t="str">
        <f>IF(COUNTBLANK(F76:F77)&gt;0,"Error","")</f>
        <v>Error</v>
      </c>
      <c r="D156" s="119" t="s">
        <v>398</v>
      </c>
      <c r="P156" s="118"/>
    </row>
    <row r="157" spans="3:16" x14ac:dyDescent="0.15">
      <c r="C157" s="253"/>
      <c r="D157" s="253"/>
    </row>
    <row r="158" spans="3:16" x14ac:dyDescent="0.15">
      <c r="C158" s="253"/>
      <c r="D158" s="253"/>
    </row>
  </sheetData>
  <sheetProtection algorithmName="SHA-512" hashValue="FAzNZ3eRqBid3Z+P42GSrVw98lctyL+A625CBFp1mkelbZcGK5iEqmT1hI5qi5EaXEILXBjzDc3pvryLq+FBFw==" saltValue="1sy+Di7YOxG1x2dlOflH/A==" spinCount="100000" sheet="1" objects="1" scenarios="1"/>
  <mergeCells count="104">
    <mergeCell ref="Q107:Q112"/>
    <mergeCell ref="C108:E108"/>
    <mergeCell ref="C109:E109"/>
    <mergeCell ref="C111:D112"/>
    <mergeCell ref="E111:F112"/>
    <mergeCell ref="G111:G112"/>
    <mergeCell ref="H111:H112"/>
    <mergeCell ref="C99:D99"/>
    <mergeCell ref="C104:E104"/>
    <mergeCell ref="F104:G104"/>
    <mergeCell ref="H104:I104"/>
    <mergeCell ref="J104:K104"/>
    <mergeCell ref="L104:M104"/>
    <mergeCell ref="P111:P112"/>
    <mergeCell ref="I111:I112"/>
    <mergeCell ref="J111:J112"/>
    <mergeCell ref="K111:K112"/>
    <mergeCell ref="L111:L112"/>
    <mergeCell ref="M111:M112"/>
    <mergeCell ref="N111:O112"/>
    <mergeCell ref="C105:E105"/>
    <mergeCell ref="C106:E106"/>
    <mergeCell ref="C107:E107"/>
    <mergeCell ref="C71:D71"/>
    <mergeCell ref="D72:E72"/>
    <mergeCell ref="P76:P79"/>
    <mergeCell ref="Q76:Q78"/>
    <mergeCell ref="C78:D78"/>
    <mergeCell ref="P82:P85"/>
    <mergeCell ref="Q82:Q88"/>
    <mergeCell ref="C61:D61"/>
    <mergeCell ref="C62:D62"/>
    <mergeCell ref="Q62:Q71"/>
    <mergeCell ref="C63:D63"/>
    <mergeCell ref="C64:D64"/>
    <mergeCell ref="C66:D66"/>
    <mergeCell ref="C67:D67"/>
    <mergeCell ref="C68:D68"/>
    <mergeCell ref="C69:D69"/>
    <mergeCell ref="C70:D70"/>
    <mergeCell ref="C56:E56"/>
    <mergeCell ref="P56:P57"/>
    <mergeCell ref="Q56:Q57"/>
    <mergeCell ref="C57:E57"/>
    <mergeCell ref="D58:E58"/>
    <mergeCell ref="P59:P60"/>
    <mergeCell ref="D49:E49"/>
    <mergeCell ref="C50:E50"/>
    <mergeCell ref="Q50:Q53"/>
    <mergeCell ref="C51:E51"/>
    <mergeCell ref="P51:P52"/>
    <mergeCell ref="C55:E55"/>
    <mergeCell ref="C44:E44"/>
    <mergeCell ref="C45:D45"/>
    <mergeCell ref="Q45:Q48"/>
    <mergeCell ref="C46:D46"/>
    <mergeCell ref="C47:D47"/>
    <mergeCell ref="C48:D48"/>
    <mergeCell ref="D34:E34"/>
    <mergeCell ref="C35:E35"/>
    <mergeCell ref="C36:E36"/>
    <mergeCell ref="Q36:Q40"/>
    <mergeCell ref="C37:E37"/>
    <mergeCell ref="C38:E38"/>
    <mergeCell ref="C39:E39"/>
    <mergeCell ref="Q26:Q33"/>
    <mergeCell ref="C28:D28"/>
    <mergeCell ref="C29:D29"/>
    <mergeCell ref="C30:D30"/>
    <mergeCell ref="C31:D31"/>
    <mergeCell ref="C32:D32"/>
    <mergeCell ref="C33:D33"/>
    <mergeCell ref="C20:D20"/>
    <mergeCell ref="D21:E21"/>
    <mergeCell ref="P22:P25"/>
    <mergeCell ref="C25:D25"/>
    <mergeCell ref="C26:D26"/>
    <mergeCell ref="P26:P33"/>
    <mergeCell ref="P9:P20"/>
    <mergeCell ref="Q9:Q20"/>
    <mergeCell ref="C14:D14"/>
    <mergeCell ref="C15:D15"/>
    <mergeCell ref="C16:D16"/>
    <mergeCell ref="C17:D17"/>
    <mergeCell ref="C18:D18"/>
    <mergeCell ref="C19:D19"/>
    <mergeCell ref="C9:D9"/>
    <mergeCell ref="C10:D10"/>
    <mergeCell ref="C11:D11"/>
    <mergeCell ref="C12:D12"/>
    <mergeCell ref="C13:D13"/>
    <mergeCell ref="A1:J1"/>
    <mergeCell ref="N1:O1"/>
    <mergeCell ref="B3:C3"/>
    <mergeCell ref="D3:O3"/>
    <mergeCell ref="Q3:Q5"/>
    <mergeCell ref="B4:C4"/>
    <mergeCell ref="D4:E4"/>
    <mergeCell ref="F4:H4"/>
    <mergeCell ref="I4:J4"/>
    <mergeCell ref="K4:M4"/>
    <mergeCell ref="N4:O4"/>
    <mergeCell ref="B5:O5"/>
    <mergeCell ref="C8:D8"/>
  </mergeCells>
  <phoneticPr fontId="2"/>
  <conditionalFormatting sqref="G26 G28:G33">
    <cfRule type="expression" dxfId="15" priority="5">
      <formula>($N$4="基礎断熱")</formula>
    </cfRule>
  </conditionalFormatting>
  <conditionalFormatting sqref="G26">
    <cfRule type="expression" dxfId="14" priority="8">
      <formula>(N4="基礎断熱")</formula>
    </cfRule>
  </conditionalFormatting>
  <conditionalFormatting sqref="G36">
    <cfRule type="expression" dxfId="13" priority="4">
      <formula>(N14="基礎断熱")</formula>
    </cfRule>
  </conditionalFormatting>
  <conditionalFormatting sqref="G36:G39">
    <cfRule type="expression" dxfId="12" priority="3">
      <formula>($N$4="基礎断熱")</formula>
    </cfRule>
  </conditionalFormatting>
  <conditionalFormatting sqref="G45:G48">
    <cfRule type="expression" dxfId="11" priority="1">
      <formula>($N$4="床断熱")</formula>
    </cfRule>
  </conditionalFormatting>
  <conditionalFormatting sqref="G51">
    <cfRule type="expression" dxfId="10" priority="2">
      <formula>($N$4="床断熱")</formula>
    </cfRule>
  </conditionalFormatting>
  <conditionalFormatting sqref="G56:G57">
    <cfRule type="expression" dxfId="9" priority="7">
      <formula>($I$4="屋根断熱")</formula>
    </cfRule>
  </conditionalFormatting>
  <conditionalFormatting sqref="G62:G64 G66:G71">
    <cfRule type="expression" dxfId="8" priority="6">
      <formula>($I$4="天井断熱")</formula>
    </cfRule>
  </conditionalFormatting>
  <dataValidations count="3">
    <dataValidation type="list" allowBlank="1" showInputMessage="1" showErrorMessage="1" sqref="N4:O4" xr:uid="{09AF57C0-E6E9-4640-AC32-97B13409609F}">
      <formula1>"床断熱,基礎断熱,（選択して下さい）"</formula1>
    </dataValidation>
    <dataValidation type="list" allowBlank="1" showInputMessage="1" showErrorMessage="1" sqref="I4:J4" xr:uid="{15CCC0E1-6626-487C-A747-DFEA1CCFC4D8}">
      <formula1>"屋根断熱,天井断熱,（選択して下さい）"</formula1>
    </dataValidation>
    <dataValidation type="list" allowBlank="1" showInputMessage="1" showErrorMessage="1" sqref="D4:E4" xr:uid="{4DD95683-D15C-4CDF-B846-EC700842C2BB}">
      <formula1>"1地域,2地域,3地域,4地域,5地域,6地域,7地域,8地域,（選択して下さい）"</formula1>
    </dataValidation>
  </dataValidations>
  <pageMargins left="0.35433070866141736" right="0.35433070866141736"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rowBreaks count="1" manualBreakCount="1">
    <brk id="42" max="14"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5EA75-DC99-40CB-A03D-B8B96720D93B}">
  <dimension ref="A1:T158"/>
  <sheetViews>
    <sheetView showGridLines="0" workbookViewId="0">
      <selection sqref="A1:J1"/>
    </sheetView>
  </sheetViews>
  <sheetFormatPr defaultRowHeight="18.75" x14ac:dyDescent="0.15"/>
  <cols>
    <col min="1" max="1" width="0.625" style="122" customWidth="1"/>
    <col min="2" max="2" width="0.375" style="119" customWidth="1"/>
    <col min="3" max="3" width="12.5" style="119" customWidth="1"/>
    <col min="4" max="4" width="6" style="119" customWidth="1"/>
    <col min="5" max="5" width="6.25" style="119" customWidth="1"/>
    <col min="6" max="6" width="7.125" style="119" customWidth="1"/>
    <col min="7" max="7" width="7.25" style="119" customWidth="1"/>
    <col min="8" max="8" width="6.875" style="119" customWidth="1"/>
    <col min="9" max="9" width="6.75" style="119" customWidth="1"/>
    <col min="10" max="10" width="7.125" style="119" customWidth="1"/>
    <col min="11" max="14" width="7.5" style="119" customWidth="1"/>
    <col min="15" max="15" width="7.5" style="122" customWidth="1"/>
    <col min="16" max="16" width="2.375" style="122" customWidth="1"/>
    <col min="17" max="17" width="54.5" style="121" customWidth="1"/>
  </cols>
  <sheetData>
    <row r="1" spans="1:20" ht="27" customHeight="1" thickTop="1" thickBot="1" x14ac:dyDescent="0.2">
      <c r="A1" s="317" t="s">
        <v>535</v>
      </c>
      <c r="B1" s="317"/>
      <c r="C1" s="317"/>
      <c r="D1" s="317"/>
      <c r="E1" s="317"/>
      <c r="F1" s="317"/>
      <c r="G1" s="317"/>
      <c r="H1" s="317"/>
      <c r="I1" s="317"/>
      <c r="J1" s="317"/>
      <c r="K1" s="166"/>
      <c r="L1" s="166"/>
      <c r="M1" s="116"/>
      <c r="N1" s="324" t="s">
        <v>439</v>
      </c>
      <c r="O1" s="324"/>
      <c r="P1" s="113"/>
      <c r="Q1" s="117" t="s">
        <v>177</v>
      </c>
      <c r="R1" s="67"/>
      <c r="S1" s="67"/>
      <c r="T1" s="67"/>
    </row>
    <row r="2" spans="1:20" s="3" customFormat="1" ht="3.75" customHeight="1" thickTop="1" thickBot="1" x14ac:dyDescent="0.2">
      <c r="A2" s="118"/>
      <c r="B2" s="122"/>
      <c r="C2" s="167"/>
      <c r="D2" s="167"/>
      <c r="E2" s="167"/>
      <c r="F2" s="167"/>
      <c r="G2" s="167"/>
      <c r="H2" s="167"/>
      <c r="I2" s="167"/>
      <c r="J2" s="167"/>
      <c r="K2" s="167"/>
      <c r="L2" s="167"/>
      <c r="M2" s="167"/>
      <c r="N2" s="167"/>
      <c r="O2" s="167"/>
      <c r="P2" s="118"/>
      <c r="Q2" s="168"/>
    </row>
    <row r="3" spans="1:20" s="2" customFormat="1" ht="18.75" customHeight="1" thickTop="1" x14ac:dyDescent="0.15">
      <c r="A3" s="122"/>
      <c r="B3" s="366" t="s">
        <v>0</v>
      </c>
      <c r="C3" s="367"/>
      <c r="D3" s="336"/>
      <c r="E3" s="336"/>
      <c r="F3" s="336"/>
      <c r="G3" s="336"/>
      <c r="H3" s="336"/>
      <c r="I3" s="336"/>
      <c r="J3" s="336"/>
      <c r="K3" s="336"/>
      <c r="L3" s="336"/>
      <c r="M3" s="336"/>
      <c r="N3" s="336"/>
      <c r="O3" s="336"/>
      <c r="P3" s="118"/>
      <c r="Q3" s="311" t="s">
        <v>525</v>
      </c>
    </row>
    <row r="4" spans="1:20" ht="22.5" customHeight="1" x14ac:dyDescent="0.15">
      <c r="B4" s="368" t="s">
        <v>334</v>
      </c>
      <c r="C4" s="369"/>
      <c r="D4" s="354" t="s">
        <v>430</v>
      </c>
      <c r="E4" s="355"/>
      <c r="F4" s="351" t="s">
        <v>333</v>
      </c>
      <c r="G4" s="352"/>
      <c r="H4" s="353"/>
      <c r="I4" s="354" t="s">
        <v>430</v>
      </c>
      <c r="J4" s="355"/>
      <c r="K4" s="351" t="s">
        <v>332</v>
      </c>
      <c r="L4" s="352"/>
      <c r="M4" s="353"/>
      <c r="N4" s="354" t="s">
        <v>430</v>
      </c>
      <c r="O4" s="355"/>
      <c r="P4" s="120" t="s">
        <v>178</v>
      </c>
      <c r="Q4" s="312"/>
    </row>
    <row r="5" spans="1:20" ht="63" customHeight="1" thickBot="1" x14ac:dyDescent="0.2">
      <c r="B5" s="370" t="s">
        <v>523</v>
      </c>
      <c r="C5" s="370"/>
      <c r="D5" s="370"/>
      <c r="E5" s="370"/>
      <c r="F5" s="370"/>
      <c r="G5" s="370"/>
      <c r="H5" s="370"/>
      <c r="I5" s="370"/>
      <c r="J5" s="370"/>
      <c r="K5" s="370"/>
      <c r="L5" s="370"/>
      <c r="M5" s="370"/>
      <c r="N5" s="370"/>
      <c r="O5" s="370"/>
      <c r="P5" s="156"/>
      <c r="Q5" s="313"/>
    </row>
    <row r="6" spans="1:20" ht="3.75" customHeight="1" thickTop="1" x14ac:dyDescent="0.15">
      <c r="B6" s="169"/>
      <c r="C6" s="169"/>
      <c r="D6" s="169"/>
      <c r="E6" s="169"/>
      <c r="F6" s="169"/>
      <c r="G6" s="169"/>
      <c r="H6" s="169"/>
      <c r="I6" s="169"/>
      <c r="J6" s="169"/>
      <c r="K6" s="169"/>
      <c r="L6" s="169"/>
      <c r="M6" s="169"/>
      <c r="N6" s="169"/>
      <c r="O6" s="169"/>
      <c r="P6" s="156"/>
      <c r="Q6" s="170"/>
    </row>
    <row r="7" spans="1:20" s="42" customFormat="1" ht="18.75" customHeight="1" x14ac:dyDescent="0.15">
      <c r="A7" s="119"/>
      <c r="B7" s="119"/>
      <c r="C7" s="122" t="s">
        <v>17</v>
      </c>
      <c r="D7" s="119"/>
      <c r="E7" s="119"/>
      <c r="F7" s="119"/>
      <c r="G7" s="119"/>
      <c r="H7" s="119"/>
      <c r="I7" s="119"/>
      <c r="J7" s="119"/>
      <c r="K7" s="119"/>
      <c r="L7" s="119"/>
      <c r="M7" s="119"/>
      <c r="N7" s="119"/>
      <c r="O7" s="119"/>
      <c r="P7" s="119"/>
      <c r="Q7" s="170"/>
    </row>
    <row r="8" spans="1:20" s="4" customFormat="1" ht="66" customHeight="1" thickBot="1" x14ac:dyDescent="0.2">
      <c r="A8" s="171"/>
      <c r="B8" s="146"/>
      <c r="C8" s="314" t="s">
        <v>21</v>
      </c>
      <c r="D8" s="316"/>
      <c r="E8" s="147" t="s">
        <v>22</v>
      </c>
      <c r="F8" s="125" t="s">
        <v>186</v>
      </c>
      <c r="G8" s="125" t="s">
        <v>415</v>
      </c>
      <c r="H8" s="125" t="s">
        <v>23</v>
      </c>
      <c r="I8" s="147" t="s">
        <v>24</v>
      </c>
      <c r="J8" s="125" t="s">
        <v>287</v>
      </c>
      <c r="K8" s="125" t="s">
        <v>188</v>
      </c>
      <c r="L8" s="125" t="s">
        <v>285</v>
      </c>
      <c r="M8" s="125" t="s">
        <v>187</v>
      </c>
      <c r="N8" s="125" t="s">
        <v>288</v>
      </c>
      <c r="O8" s="172"/>
      <c r="P8" s="118"/>
      <c r="Q8" s="170"/>
    </row>
    <row r="9" spans="1:20" ht="18" customHeight="1" thickTop="1" x14ac:dyDescent="0.15">
      <c r="C9" s="371" t="s">
        <v>25</v>
      </c>
      <c r="D9" s="372"/>
      <c r="E9" s="173" t="s">
        <v>26</v>
      </c>
      <c r="F9" s="174" t="e">
        <f>IF(INT(LEFT($D$4,1))&lt;4,17.86,13.6)</f>
        <v>#VALUE!</v>
      </c>
      <c r="G9" s="58"/>
      <c r="H9" s="175">
        <v>1</v>
      </c>
      <c r="I9" s="174" t="e">
        <f t="shared" ref="I9:I20" si="0">F9*G9*H9</f>
        <v>#VALUE!</v>
      </c>
      <c r="J9" s="176">
        <f t="shared" ref="J9:J20" si="1">G9*0.034</f>
        <v>0</v>
      </c>
      <c r="K9" s="176" t="e">
        <f>INDEX(方位係数!$B$2:$J$10,MATCH($E9,方位係数!$A$2:$A$10,0),MATCH($D$4,方位係数!$B$1:$J$1))</f>
        <v>#N/A</v>
      </c>
      <c r="L9" s="176" t="e">
        <f t="shared" ref="L9:L20" si="2">$K9*$F9*$J9</f>
        <v>#N/A</v>
      </c>
      <c r="M9" s="176" t="e">
        <f>INDEX(方位係数!$B$13:$J$21,MATCH($E9,方位係数!$A$13:$A$21,0),MATCH($D$4,方位係数!$B$12:$J$12))</f>
        <v>#N/A</v>
      </c>
      <c r="N9" s="176" t="e">
        <f t="shared" ref="N9:N20" si="3">$M9*$F9*$J9</f>
        <v>#N/A</v>
      </c>
      <c r="P9" s="309" t="s">
        <v>178</v>
      </c>
      <c r="Q9" s="311" t="s">
        <v>504</v>
      </c>
    </row>
    <row r="10" spans="1:20" ht="18" customHeight="1" x14ac:dyDescent="0.15">
      <c r="C10" s="345" t="s">
        <v>25</v>
      </c>
      <c r="D10" s="346"/>
      <c r="E10" s="177" t="s">
        <v>27</v>
      </c>
      <c r="F10" s="178" t="e">
        <f>IF(INT(LEFT($D$4,1))&lt;4,15.9,15.71)</f>
        <v>#VALUE!</v>
      </c>
      <c r="G10" s="59"/>
      <c r="H10" s="179">
        <v>1</v>
      </c>
      <c r="I10" s="178" t="e">
        <f t="shared" si="0"/>
        <v>#VALUE!</v>
      </c>
      <c r="J10" s="180">
        <f t="shared" si="1"/>
        <v>0</v>
      </c>
      <c r="K10" s="180" t="e">
        <f>INDEX(方位係数!$B$2:$J$10,MATCH($E10,方位係数!$A$2:$A$10,0),MATCH($D$4,方位係数!$B$1:$J$1))</f>
        <v>#N/A</v>
      </c>
      <c r="L10" s="180" t="e">
        <f t="shared" si="2"/>
        <v>#N/A</v>
      </c>
      <c r="M10" s="180" t="e">
        <f>INDEX(方位係数!$B$13:$J$21,MATCH($E10,方位係数!$A$13:$A$21,0),MATCH($D$4,方位係数!$B$12:$J$12))</f>
        <v>#N/A</v>
      </c>
      <c r="N10" s="180" t="e">
        <f t="shared" si="3"/>
        <v>#N/A</v>
      </c>
      <c r="P10" s="309"/>
      <c r="Q10" s="312"/>
    </row>
    <row r="11" spans="1:20" ht="18" customHeight="1" x14ac:dyDescent="0.15">
      <c r="C11" s="345" t="s">
        <v>25</v>
      </c>
      <c r="D11" s="346"/>
      <c r="E11" s="177" t="s">
        <v>28</v>
      </c>
      <c r="F11" s="178" t="e">
        <f>IF(INT(LEFT($D$4,1))&lt;4,22.4,21.56)</f>
        <v>#VALUE!</v>
      </c>
      <c r="G11" s="59"/>
      <c r="H11" s="179">
        <v>1</v>
      </c>
      <c r="I11" s="178" t="e">
        <f t="shared" si="0"/>
        <v>#VALUE!</v>
      </c>
      <c r="J11" s="180">
        <f t="shared" si="1"/>
        <v>0</v>
      </c>
      <c r="K11" s="180" t="e">
        <f>INDEX(方位係数!$B$2:$J$10,MATCH($E11,方位係数!$A$2:$A$10,0),MATCH($D$4,方位係数!$B$1:$J$1))</f>
        <v>#N/A</v>
      </c>
      <c r="L11" s="180" t="e">
        <f t="shared" si="2"/>
        <v>#N/A</v>
      </c>
      <c r="M11" s="180" t="e">
        <f>INDEX(方位係数!$B$13:$J$21,MATCH($E11,方位係数!$A$13:$A$21,0),MATCH($D$4,方位係数!$B$12:$J$12))</f>
        <v>#N/A</v>
      </c>
      <c r="N11" s="180" t="e">
        <f t="shared" si="3"/>
        <v>#N/A</v>
      </c>
      <c r="P11" s="309"/>
      <c r="Q11" s="312"/>
    </row>
    <row r="12" spans="1:20" ht="18" customHeight="1" x14ac:dyDescent="0.15">
      <c r="C12" s="345" t="s">
        <v>25</v>
      </c>
      <c r="D12" s="346"/>
      <c r="E12" s="177" t="s">
        <v>29</v>
      </c>
      <c r="F12" s="178" t="e">
        <f>IF(INT(LEFT($D$4,1))&lt;4,14.45,14.07)</f>
        <v>#VALUE!</v>
      </c>
      <c r="G12" s="59"/>
      <c r="H12" s="179">
        <v>1</v>
      </c>
      <c r="I12" s="178" t="e">
        <f t="shared" si="0"/>
        <v>#VALUE!</v>
      </c>
      <c r="J12" s="180">
        <f t="shared" si="1"/>
        <v>0</v>
      </c>
      <c r="K12" s="180" t="e">
        <f>INDEX(方位係数!$B$2:$J$10,MATCH($E12,方位係数!$A$2:$A$10,0),MATCH($D$4,方位係数!$B$1:$J$1))</f>
        <v>#N/A</v>
      </c>
      <c r="L12" s="180" t="e">
        <f t="shared" si="2"/>
        <v>#N/A</v>
      </c>
      <c r="M12" s="180" t="e">
        <f>INDEX(方位係数!$B$13:$J$21,MATCH($E12,方位係数!$A$13:$A$21,0),MATCH($D$4,方位係数!$B$12:$J$12))</f>
        <v>#N/A</v>
      </c>
      <c r="N12" s="180" t="e">
        <f t="shared" si="3"/>
        <v>#N/A</v>
      </c>
      <c r="P12" s="309"/>
      <c r="Q12" s="312"/>
    </row>
    <row r="13" spans="1:20" ht="18" customHeight="1" x14ac:dyDescent="0.15">
      <c r="C13" s="345" t="s">
        <v>66</v>
      </c>
      <c r="D13" s="346"/>
      <c r="E13" s="177" t="s">
        <v>26</v>
      </c>
      <c r="F13" s="178">
        <v>4.78</v>
      </c>
      <c r="G13" s="59"/>
      <c r="H13" s="179">
        <v>1</v>
      </c>
      <c r="I13" s="178">
        <f t="shared" si="0"/>
        <v>0</v>
      </c>
      <c r="J13" s="180">
        <f t="shared" si="1"/>
        <v>0</v>
      </c>
      <c r="K13" s="180" t="e">
        <f>INDEX(方位係数!$B$2:$J$10,MATCH($E13,方位係数!$A$2:$A$10,0),MATCH($D$4,方位係数!$B$1:$J$1))</f>
        <v>#N/A</v>
      </c>
      <c r="L13" s="180" t="e">
        <f t="shared" si="2"/>
        <v>#N/A</v>
      </c>
      <c r="M13" s="180" t="e">
        <f>INDEX(方位係数!$B$13:$J$21,MATCH($E13,方位係数!$A$13:$A$21,0),MATCH($D$4,方位係数!$B$12:$J$12))</f>
        <v>#N/A</v>
      </c>
      <c r="N13" s="180" t="e">
        <f t="shared" si="3"/>
        <v>#N/A</v>
      </c>
      <c r="P13" s="309"/>
      <c r="Q13" s="312"/>
    </row>
    <row r="14" spans="1:20" ht="18" customHeight="1" x14ac:dyDescent="0.15">
      <c r="C14" s="345" t="s">
        <v>66</v>
      </c>
      <c r="D14" s="346"/>
      <c r="E14" s="177" t="s">
        <v>27</v>
      </c>
      <c r="F14" s="178">
        <v>2.73</v>
      </c>
      <c r="G14" s="59"/>
      <c r="H14" s="179">
        <v>1</v>
      </c>
      <c r="I14" s="178">
        <f t="shared" si="0"/>
        <v>0</v>
      </c>
      <c r="J14" s="180">
        <f t="shared" si="1"/>
        <v>0</v>
      </c>
      <c r="K14" s="180" t="e">
        <f>INDEX(方位係数!$B$2:$J$10,MATCH($E14,方位係数!$A$2:$A$10,0),MATCH($D$4,方位係数!$B$1:$J$1))</f>
        <v>#N/A</v>
      </c>
      <c r="L14" s="180" t="e">
        <f t="shared" si="2"/>
        <v>#N/A</v>
      </c>
      <c r="M14" s="180" t="e">
        <f>INDEX(方位係数!$B$13:$J$21,MATCH($E14,方位係数!$A$13:$A$21,0),MATCH($D$4,方位係数!$B$12:$J$12))</f>
        <v>#N/A</v>
      </c>
      <c r="N14" s="180" t="e">
        <f t="shared" si="3"/>
        <v>#N/A</v>
      </c>
      <c r="P14" s="309"/>
      <c r="Q14" s="312"/>
    </row>
    <row r="15" spans="1:20" ht="18" customHeight="1" x14ac:dyDescent="0.15">
      <c r="C15" s="345" t="s">
        <v>66</v>
      </c>
      <c r="D15" s="346"/>
      <c r="E15" s="177" t="s">
        <v>28</v>
      </c>
      <c r="F15" s="178">
        <v>3.1900000000000004</v>
      </c>
      <c r="G15" s="59"/>
      <c r="H15" s="179">
        <v>1</v>
      </c>
      <c r="I15" s="178">
        <f t="shared" si="0"/>
        <v>0</v>
      </c>
      <c r="J15" s="180">
        <f>G15*0.034</f>
        <v>0</v>
      </c>
      <c r="K15" s="180" t="e">
        <f>INDEX(方位係数!$B$2:$J$10,MATCH($E15,方位係数!$A$2:$A$10,0),MATCH($D$4,方位係数!$B$1:$J$1))</f>
        <v>#N/A</v>
      </c>
      <c r="L15" s="180" t="e">
        <f t="shared" si="2"/>
        <v>#N/A</v>
      </c>
      <c r="M15" s="180" t="e">
        <f>INDEX(方位係数!$B$13:$J$21,MATCH($E15,方位係数!$A$13:$A$21,0),MATCH($D$4,方位係数!$B$12:$J$12))</f>
        <v>#N/A</v>
      </c>
      <c r="N15" s="180" t="e">
        <f t="shared" si="3"/>
        <v>#N/A</v>
      </c>
      <c r="P15" s="309"/>
      <c r="Q15" s="312"/>
    </row>
    <row r="16" spans="1:20" ht="18" customHeight="1" x14ac:dyDescent="0.15">
      <c r="C16" s="345" t="s">
        <v>66</v>
      </c>
      <c r="D16" s="346"/>
      <c r="E16" s="177" t="s">
        <v>29</v>
      </c>
      <c r="F16" s="178">
        <v>2.73</v>
      </c>
      <c r="G16" s="59"/>
      <c r="H16" s="179">
        <v>1</v>
      </c>
      <c r="I16" s="178">
        <f t="shared" si="0"/>
        <v>0</v>
      </c>
      <c r="J16" s="180">
        <f t="shared" si="1"/>
        <v>0</v>
      </c>
      <c r="K16" s="180" t="e">
        <f>INDEX(方位係数!$B$2:$J$10,MATCH($E16,方位係数!$A$2:$A$10,0),MATCH($D$4,方位係数!$B$1:$J$1))</f>
        <v>#N/A</v>
      </c>
      <c r="L16" s="180" t="e">
        <f t="shared" si="2"/>
        <v>#N/A</v>
      </c>
      <c r="M16" s="180" t="e">
        <f>INDEX(方位係数!$B$13:$J$21,MATCH($E16,方位係数!$A$13:$A$21,0),MATCH($D$4,方位係数!$B$12:$J$12))</f>
        <v>#N/A</v>
      </c>
      <c r="N16" s="180" t="e">
        <f t="shared" si="3"/>
        <v>#N/A</v>
      </c>
      <c r="P16" s="309"/>
      <c r="Q16" s="312"/>
    </row>
    <row r="17" spans="1:17" ht="18" customHeight="1" x14ac:dyDescent="0.15">
      <c r="C17" s="345" t="s">
        <v>30</v>
      </c>
      <c r="D17" s="346"/>
      <c r="E17" s="177" t="s">
        <v>26</v>
      </c>
      <c r="F17" s="178" t="e">
        <f>IF(INT(LEFT($D$4,1))&lt;4,14.43,14.76)</f>
        <v>#VALUE!</v>
      </c>
      <c r="G17" s="59"/>
      <c r="H17" s="179">
        <v>1</v>
      </c>
      <c r="I17" s="178" t="e">
        <f t="shared" si="0"/>
        <v>#VALUE!</v>
      </c>
      <c r="J17" s="180">
        <f t="shared" si="1"/>
        <v>0</v>
      </c>
      <c r="K17" s="180" t="e">
        <f>INDEX(方位係数!$B$2:$J$10,MATCH($E17,方位係数!$A$2:$A$10,0),MATCH($D$4,方位係数!$B$1:$J$1))</f>
        <v>#N/A</v>
      </c>
      <c r="L17" s="180" t="e">
        <f t="shared" si="2"/>
        <v>#N/A</v>
      </c>
      <c r="M17" s="180" t="e">
        <f>INDEX(方位係数!$B$13:$J$21,MATCH($E17,方位係数!$A$13:$A$21,0),MATCH($D$4,方位係数!$B$12:$J$12))</f>
        <v>#N/A</v>
      </c>
      <c r="N17" s="180" t="e">
        <f t="shared" si="3"/>
        <v>#N/A</v>
      </c>
      <c r="P17" s="309"/>
      <c r="Q17" s="312"/>
    </row>
    <row r="18" spans="1:17" ht="18" customHeight="1" x14ac:dyDescent="0.15">
      <c r="C18" s="345" t="s">
        <v>30</v>
      </c>
      <c r="D18" s="346"/>
      <c r="E18" s="177" t="s">
        <v>27</v>
      </c>
      <c r="F18" s="178" t="e">
        <f>IF(INT(LEFT($D$4,1))&lt;4,12.54,11.58)</f>
        <v>#VALUE!</v>
      </c>
      <c r="G18" s="59"/>
      <c r="H18" s="179">
        <v>1</v>
      </c>
      <c r="I18" s="178" t="e">
        <f t="shared" si="0"/>
        <v>#VALUE!</v>
      </c>
      <c r="J18" s="180">
        <f t="shared" si="1"/>
        <v>0</v>
      </c>
      <c r="K18" s="180" t="e">
        <f>INDEX(方位係数!$B$2:$J$10,MATCH($E18,方位係数!$A$2:$A$10,0),MATCH($D$4,方位係数!$B$1:$J$1))</f>
        <v>#N/A</v>
      </c>
      <c r="L18" s="180" t="e">
        <f t="shared" si="2"/>
        <v>#N/A</v>
      </c>
      <c r="M18" s="180" t="e">
        <f>INDEX(方位係数!$B$13:$J$21,MATCH($E18,方位係数!$A$13:$A$21,0),MATCH($D$4,方位係数!$B$12:$J$12))</f>
        <v>#N/A</v>
      </c>
      <c r="N18" s="180" t="e">
        <f t="shared" si="3"/>
        <v>#N/A</v>
      </c>
      <c r="P18" s="309"/>
      <c r="Q18" s="312"/>
    </row>
    <row r="19" spans="1:17" ht="18" customHeight="1" x14ac:dyDescent="0.15">
      <c r="C19" s="345" t="s">
        <v>30</v>
      </c>
      <c r="D19" s="346"/>
      <c r="E19" s="177" t="s">
        <v>28</v>
      </c>
      <c r="F19" s="178" t="e">
        <f>IF(INT(LEFT($D$4,1))&lt;4,24.36,24.02)</f>
        <v>#VALUE!</v>
      </c>
      <c r="G19" s="59"/>
      <c r="H19" s="179">
        <v>1</v>
      </c>
      <c r="I19" s="178" t="e">
        <f t="shared" si="0"/>
        <v>#VALUE!</v>
      </c>
      <c r="J19" s="180">
        <f t="shared" si="1"/>
        <v>0</v>
      </c>
      <c r="K19" s="180" t="e">
        <f>INDEX(方位係数!$B$2:$J$10,MATCH($E19,方位係数!$A$2:$A$10,0),MATCH($D$4,方位係数!$B$1:$J$1))</f>
        <v>#N/A</v>
      </c>
      <c r="L19" s="180" t="e">
        <f t="shared" si="2"/>
        <v>#N/A</v>
      </c>
      <c r="M19" s="180" t="e">
        <f>INDEX(方位係数!$B$13:$J$21,MATCH($E19,方位係数!$A$13:$A$21,0),MATCH($D$4,方位係数!$B$12:$J$12))</f>
        <v>#N/A</v>
      </c>
      <c r="N19" s="180" t="e">
        <f t="shared" si="3"/>
        <v>#N/A</v>
      </c>
      <c r="P19" s="309"/>
      <c r="Q19" s="312"/>
    </row>
    <row r="20" spans="1:17" ht="18" customHeight="1" thickBot="1" x14ac:dyDescent="0.2">
      <c r="C20" s="347" t="s">
        <v>30</v>
      </c>
      <c r="D20" s="348"/>
      <c r="E20" s="181" t="s">
        <v>29</v>
      </c>
      <c r="F20" s="182" t="e">
        <f>IF(INT(LEFT($D$4,1))&lt;4,12.75,12.44)</f>
        <v>#VALUE!</v>
      </c>
      <c r="G20" s="70"/>
      <c r="H20" s="183">
        <v>1</v>
      </c>
      <c r="I20" s="182" t="e">
        <f t="shared" si="0"/>
        <v>#VALUE!</v>
      </c>
      <c r="J20" s="184">
        <f t="shared" si="1"/>
        <v>0</v>
      </c>
      <c r="K20" s="185" t="e">
        <f>INDEX(方位係数!$B$2:$J$10,MATCH($E20,方位係数!$A$2:$A$10,0),MATCH($D$4,方位係数!$B$1:$J$1))</f>
        <v>#N/A</v>
      </c>
      <c r="L20" s="185" t="e">
        <f t="shared" si="2"/>
        <v>#N/A</v>
      </c>
      <c r="M20" s="185" t="e">
        <f>INDEX(方位係数!$B$13:$J$21,MATCH($E20,方位係数!$A$13:$A$21,0),MATCH($D$4,方位係数!$B$12:$J$12))</f>
        <v>#N/A</v>
      </c>
      <c r="N20" s="185" t="e">
        <f t="shared" si="3"/>
        <v>#N/A</v>
      </c>
      <c r="P20" s="309"/>
      <c r="Q20" s="313"/>
    </row>
    <row r="21" spans="1:17" ht="18" customHeight="1" thickTop="1" x14ac:dyDescent="0.15">
      <c r="D21" s="349" t="s">
        <v>31</v>
      </c>
      <c r="E21" s="350"/>
      <c r="F21" s="186" t="e">
        <f>SUM(F9:F20)</f>
        <v>#VALUE!</v>
      </c>
      <c r="G21" s="167"/>
      <c r="H21" s="187" t="s">
        <v>32</v>
      </c>
      <c r="I21" s="186" t="e">
        <f>SUM(I9:I20)</f>
        <v>#VALUE!</v>
      </c>
      <c r="J21" s="188"/>
      <c r="K21" s="187" t="s">
        <v>190</v>
      </c>
      <c r="L21" s="189" t="e">
        <f>SUM(L9:L20)</f>
        <v>#N/A</v>
      </c>
      <c r="M21" s="187" t="s">
        <v>189</v>
      </c>
      <c r="N21" s="189" t="e">
        <f>SUM(N9:N20)</f>
        <v>#N/A</v>
      </c>
    </row>
    <row r="22" spans="1:17" ht="18.75" customHeight="1" x14ac:dyDescent="0.15">
      <c r="C22" s="127" t="s">
        <v>378</v>
      </c>
      <c r="P22" s="341"/>
    </row>
    <row r="23" spans="1:17" ht="9" customHeight="1" x14ac:dyDescent="0.15">
      <c r="F23" s="190"/>
      <c r="P23" s="341"/>
    </row>
    <row r="24" spans="1:17" s="42" customFormat="1" ht="18.75" customHeight="1" x14ac:dyDescent="0.15">
      <c r="A24" s="119"/>
      <c r="B24" s="119"/>
      <c r="C24" s="122" t="s">
        <v>505</v>
      </c>
      <c r="D24" s="119"/>
      <c r="E24" s="119"/>
      <c r="F24" s="119"/>
      <c r="G24" s="119"/>
      <c r="H24" s="119"/>
      <c r="I24" s="119"/>
      <c r="J24" s="119"/>
      <c r="K24" s="119"/>
      <c r="L24" s="119"/>
      <c r="M24" s="119"/>
      <c r="N24" s="119"/>
      <c r="O24" s="119"/>
      <c r="P24" s="341"/>
      <c r="Q24" s="121"/>
    </row>
    <row r="25" spans="1:17" s="4" customFormat="1" ht="62.25" customHeight="1" thickBot="1" x14ac:dyDescent="0.2">
      <c r="A25" s="171"/>
      <c r="B25" s="146"/>
      <c r="C25" s="314" t="s">
        <v>417</v>
      </c>
      <c r="D25" s="316"/>
      <c r="E25" s="147" t="s">
        <v>22</v>
      </c>
      <c r="F25" s="125" t="s">
        <v>186</v>
      </c>
      <c r="G25" s="125" t="s">
        <v>415</v>
      </c>
      <c r="H25" s="125" t="s">
        <v>23</v>
      </c>
      <c r="I25" s="125" t="s">
        <v>24</v>
      </c>
      <c r="J25" s="125" t="s">
        <v>287</v>
      </c>
      <c r="K25" s="125" t="s">
        <v>188</v>
      </c>
      <c r="L25" s="125" t="s">
        <v>285</v>
      </c>
      <c r="M25" s="125" t="s">
        <v>187</v>
      </c>
      <c r="N25" s="125" t="s">
        <v>288</v>
      </c>
      <c r="O25" s="146"/>
      <c r="P25" s="341"/>
      <c r="Q25" s="191"/>
    </row>
    <row r="26" spans="1:17" ht="18" customHeight="1" thickTop="1" x14ac:dyDescent="0.15">
      <c r="C26" s="376" t="s">
        <v>229</v>
      </c>
      <c r="D26" s="377"/>
      <c r="E26" s="193"/>
      <c r="F26" s="194">
        <f>IF($N$4="床断熱",62.11,0)</f>
        <v>0</v>
      </c>
      <c r="G26" s="89"/>
      <c r="H26" s="195">
        <v>0.7</v>
      </c>
      <c r="I26" s="194">
        <f>F26*G26*H26</f>
        <v>0</v>
      </c>
      <c r="J26" s="196">
        <f t="shared" ref="J26:J33" si="4">G26*0.034</f>
        <v>0</v>
      </c>
      <c r="K26" s="196">
        <v>0</v>
      </c>
      <c r="L26" s="196">
        <f t="shared" ref="L26:L33" si="5">$K26*$F26*$J26</f>
        <v>0</v>
      </c>
      <c r="M26" s="196">
        <v>0</v>
      </c>
      <c r="N26" s="196">
        <f t="shared" ref="N26:N33" si="6">$M26*$F26*$J26</f>
        <v>0</v>
      </c>
      <c r="O26" s="119"/>
      <c r="P26" s="309" t="s">
        <v>178</v>
      </c>
      <c r="Q26" s="311" t="s">
        <v>428</v>
      </c>
    </row>
    <row r="27" spans="1:17" ht="6" customHeight="1" x14ac:dyDescent="0.15">
      <c r="P27" s="309"/>
      <c r="Q27" s="312"/>
    </row>
    <row r="28" spans="1:17" ht="18" customHeight="1" x14ac:dyDescent="0.15">
      <c r="C28" s="404" t="s">
        <v>400</v>
      </c>
      <c r="D28" s="405"/>
      <c r="E28" s="197" t="s">
        <v>27</v>
      </c>
      <c r="F28" s="198">
        <f>IF($N$4="床断熱",1.82*0.45,0)</f>
        <v>0</v>
      </c>
      <c r="G28" s="62"/>
      <c r="H28" s="199">
        <v>1</v>
      </c>
      <c r="I28" s="198">
        <f t="shared" ref="I28:I33" si="7">F28*G28*H28</f>
        <v>0</v>
      </c>
      <c r="J28" s="200">
        <f t="shared" si="4"/>
        <v>0</v>
      </c>
      <c r="K28" s="200" t="e">
        <f>INDEX(方位係数!$B$2:$J$10,MATCH($E28,方位係数!$A$2:$A$10,0),MATCH($D$4,方位係数!$B$1:$J$1))</f>
        <v>#N/A</v>
      </c>
      <c r="L28" s="200" t="e">
        <f t="shared" si="5"/>
        <v>#N/A</v>
      </c>
      <c r="M28" s="200" t="e">
        <f>INDEX(方位係数!$B$13:$J$21,MATCH($E28,方位係数!$A$13:$A$21,0),MATCH($D$4,方位係数!$B$12:$J$12))</f>
        <v>#N/A</v>
      </c>
      <c r="N28" s="200" t="e">
        <f t="shared" si="6"/>
        <v>#N/A</v>
      </c>
      <c r="O28" s="201"/>
      <c r="P28" s="309"/>
      <c r="Q28" s="312"/>
    </row>
    <row r="29" spans="1:17" ht="18" customHeight="1" x14ac:dyDescent="0.15">
      <c r="C29" s="345" t="s">
        <v>401</v>
      </c>
      <c r="D29" s="361"/>
      <c r="E29" s="177" t="s">
        <v>28</v>
      </c>
      <c r="F29" s="178">
        <f>IF($N$4="床断熱",1.365*0.45,0)</f>
        <v>0</v>
      </c>
      <c r="G29" s="59"/>
      <c r="H29" s="179">
        <v>1</v>
      </c>
      <c r="I29" s="178">
        <f t="shared" si="7"/>
        <v>0</v>
      </c>
      <c r="J29" s="180">
        <f t="shared" si="4"/>
        <v>0</v>
      </c>
      <c r="K29" s="180" t="e">
        <f>INDEX(方位係数!$B$2:$J$10,MATCH($E29,方位係数!$A$2:$A$10,0),MATCH($D$4,方位係数!$B$1:$J$1))</f>
        <v>#N/A</v>
      </c>
      <c r="L29" s="180" t="e">
        <f t="shared" si="5"/>
        <v>#N/A</v>
      </c>
      <c r="M29" s="180" t="e">
        <f>INDEX(方位係数!$B$13:$J$21,MATCH($E29,方位係数!$A$13:$A$21,0),MATCH($D$4,方位係数!$B$12:$J$12))</f>
        <v>#N/A</v>
      </c>
      <c r="N29" s="180" t="e">
        <f t="shared" si="6"/>
        <v>#N/A</v>
      </c>
      <c r="O29" s="201"/>
      <c r="P29" s="309"/>
      <c r="Q29" s="312"/>
    </row>
    <row r="30" spans="1:17" ht="18" customHeight="1" x14ac:dyDescent="0.15">
      <c r="C30" s="345" t="s">
        <v>402</v>
      </c>
      <c r="D30" s="361"/>
      <c r="E30" s="202"/>
      <c r="F30" s="178">
        <f>IF($N$4="床断熱",3.185*0.45,0)</f>
        <v>0</v>
      </c>
      <c r="G30" s="59"/>
      <c r="H30" s="179">
        <v>0.7</v>
      </c>
      <c r="I30" s="178">
        <f t="shared" si="7"/>
        <v>0</v>
      </c>
      <c r="J30" s="180">
        <f t="shared" si="4"/>
        <v>0</v>
      </c>
      <c r="K30" s="180">
        <v>0</v>
      </c>
      <c r="L30" s="180">
        <f t="shared" si="5"/>
        <v>0</v>
      </c>
      <c r="M30" s="180">
        <v>0</v>
      </c>
      <c r="N30" s="180">
        <f t="shared" si="6"/>
        <v>0</v>
      </c>
      <c r="O30" s="201"/>
      <c r="P30" s="309"/>
      <c r="Q30" s="312"/>
    </row>
    <row r="31" spans="1:17" ht="18" customHeight="1" x14ac:dyDescent="0.15">
      <c r="C31" s="345" t="s">
        <v>403</v>
      </c>
      <c r="D31" s="361"/>
      <c r="E31" s="177" t="s">
        <v>27</v>
      </c>
      <c r="F31" s="203">
        <f>IF($N$4="床断熱",1.82*0.45,0)</f>
        <v>0</v>
      </c>
      <c r="G31" s="61"/>
      <c r="H31" s="204">
        <v>1</v>
      </c>
      <c r="I31" s="203">
        <f t="shared" si="7"/>
        <v>0</v>
      </c>
      <c r="J31" s="180">
        <f t="shared" si="4"/>
        <v>0</v>
      </c>
      <c r="K31" s="180" t="e">
        <f>INDEX(方位係数!$B$2:$J$10,MATCH($E31,方位係数!$A$2:$A$10,0),MATCH($D$4,方位係数!$B$1:$J$1))</f>
        <v>#N/A</v>
      </c>
      <c r="L31" s="180" t="e">
        <f t="shared" si="5"/>
        <v>#N/A</v>
      </c>
      <c r="M31" s="180" t="e">
        <f>INDEX(方位係数!$B$13:$J$21,MATCH($E31,方位係数!$A$13:$A$21,0),MATCH($D$4,方位係数!$B$12:$J$12))</f>
        <v>#N/A</v>
      </c>
      <c r="N31" s="180" t="e">
        <f t="shared" si="6"/>
        <v>#N/A</v>
      </c>
      <c r="O31" s="201"/>
      <c r="P31" s="309"/>
      <c r="Q31" s="312"/>
    </row>
    <row r="32" spans="1:17" ht="18" customHeight="1" x14ac:dyDescent="0.15">
      <c r="C32" s="345" t="s">
        <v>404</v>
      </c>
      <c r="D32" s="361"/>
      <c r="E32" s="177" t="s">
        <v>28</v>
      </c>
      <c r="F32" s="203">
        <f>IF($N$4="床断熱",1.82*0.45,0)</f>
        <v>0</v>
      </c>
      <c r="G32" s="61"/>
      <c r="H32" s="204">
        <v>1</v>
      </c>
      <c r="I32" s="203">
        <f t="shared" si="7"/>
        <v>0</v>
      </c>
      <c r="J32" s="180">
        <f t="shared" si="4"/>
        <v>0</v>
      </c>
      <c r="K32" s="180" t="e">
        <f>INDEX(方位係数!$B$2:$J$10,MATCH($E32,方位係数!$A$2:$A$10,0),MATCH($D$4,方位係数!$B$1:$J$1))</f>
        <v>#N/A</v>
      </c>
      <c r="L32" s="180" t="e">
        <f t="shared" si="5"/>
        <v>#N/A</v>
      </c>
      <c r="M32" s="180" t="e">
        <f>INDEX(方位係数!$B$13:$J$21,MATCH($E32,方位係数!$A$13:$A$21,0),MATCH($D$4,方位係数!$B$12:$J$12))</f>
        <v>#N/A</v>
      </c>
      <c r="N32" s="180" t="e">
        <f t="shared" si="6"/>
        <v>#N/A</v>
      </c>
      <c r="O32" s="201"/>
      <c r="P32" s="309"/>
      <c r="Q32" s="312"/>
    </row>
    <row r="33" spans="1:17" ht="18" customHeight="1" thickBot="1" x14ac:dyDescent="0.2">
      <c r="C33" s="362" t="s">
        <v>405</v>
      </c>
      <c r="D33" s="363"/>
      <c r="E33" s="205"/>
      <c r="F33" s="182">
        <f>IF($N$4="床断熱",3.64*0.45,0)</f>
        <v>0</v>
      </c>
      <c r="G33" s="70"/>
      <c r="H33" s="183">
        <v>0.7</v>
      </c>
      <c r="I33" s="182">
        <f t="shared" si="7"/>
        <v>0</v>
      </c>
      <c r="J33" s="184">
        <f t="shared" si="4"/>
        <v>0</v>
      </c>
      <c r="K33" s="206">
        <v>0</v>
      </c>
      <c r="L33" s="206">
        <f t="shared" si="5"/>
        <v>0</v>
      </c>
      <c r="M33" s="206">
        <v>0</v>
      </c>
      <c r="N33" s="206">
        <f t="shared" si="6"/>
        <v>0</v>
      </c>
      <c r="O33" s="201"/>
      <c r="P33" s="309"/>
      <c r="Q33" s="313"/>
    </row>
    <row r="34" spans="1:17" ht="18" customHeight="1" thickTop="1" x14ac:dyDescent="0.15">
      <c r="C34" s="207"/>
      <c r="D34" s="364" t="s">
        <v>79</v>
      </c>
      <c r="E34" s="365"/>
      <c r="F34" s="208">
        <f>IF($N$4="床断熱",67.9+SUM(F28:F33),0)</f>
        <v>0</v>
      </c>
      <c r="G34" s="167"/>
      <c r="H34" s="209" t="s">
        <v>33</v>
      </c>
      <c r="I34" s="208">
        <f>SUM(I26:I33)</f>
        <v>0</v>
      </c>
      <c r="J34" s="127"/>
      <c r="K34" s="187" t="s">
        <v>411</v>
      </c>
      <c r="L34" s="189" t="e">
        <f>SUM(L26:L33)</f>
        <v>#N/A</v>
      </c>
      <c r="M34" s="187" t="s">
        <v>412</v>
      </c>
      <c r="N34" s="189" t="e">
        <f>SUM(N26:N33)</f>
        <v>#N/A</v>
      </c>
      <c r="O34" s="119"/>
    </row>
    <row r="35" spans="1:17" ht="48" customHeight="1" thickBot="1" x14ac:dyDescent="0.2">
      <c r="C35" s="304" t="s">
        <v>418</v>
      </c>
      <c r="D35" s="304"/>
      <c r="E35" s="304"/>
      <c r="F35" s="210" t="s">
        <v>34</v>
      </c>
      <c r="G35" s="211" t="s">
        <v>416</v>
      </c>
      <c r="H35" s="125" t="s">
        <v>23</v>
      </c>
      <c r="I35" s="125" t="s">
        <v>273</v>
      </c>
    </row>
    <row r="36" spans="1:17" ht="18" customHeight="1" thickTop="1" x14ac:dyDescent="0.15">
      <c r="C36" s="409" t="s">
        <v>406</v>
      </c>
      <c r="D36" s="409"/>
      <c r="E36" s="409"/>
      <c r="F36" s="174">
        <f>IF($N$4="床断熱",3.185,0)</f>
        <v>0</v>
      </c>
      <c r="G36" s="58">
        <v>0.99</v>
      </c>
      <c r="H36" s="175">
        <v>1</v>
      </c>
      <c r="I36" s="174">
        <f>F36*G36*H36</f>
        <v>0</v>
      </c>
      <c r="P36" s="120" t="s">
        <v>213</v>
      </c>
      <c r="Q36" s="356" t="s">
        <v>506</v>
      </c>
    </row>
    <row r="37" spans="1:17" ht="18" customHeight="1" x14ac:dyDescent="0.15">
      <c r="C37" s="410" t="s">
        <v>407</v>
      </c>
      <c r="D37" s="410"/>
      <c r="E37" s="410"/>
      <c r="F37" s="178">
        <f>IF($N$4="床断熱",3.185,0)</f>
        <v>0</v>
      </c>
      <c r="G37" s="59">
        <v>0.99</v>
      </c>
      <c r="H37" s="179">
        <v>0.7</v>
      </c>
      <c r="I37" s="178">
        <f>F37*G37*H37</f>
        <v>0</v>
      </c>
      <c r="Q37" s="357"/>
    </row>
    <row r="38" spans="1:17" ht="18" customHeight="1" x14ac:dyDescent="0.15">
      <c r="C38" s="410" t="s">
        <v>408</v>
      </c>
      <c r="D38" s="410"/>
      <c r="E38" s="410"/>
      <c r="F38" s="178">
        <f>IF($N$4="床断熱",3.64,0)</f>
        <v>0</v>
      </c>
      <c r="G38" s="59">
        <v>0.99</v>
      </c>
      <c r="H38" s="179">
        <v>1</v>
      </c>
      <c r="I38" s="178">
        <f>F38*G38*H38</f>
        <v>0</v>
      </c>
      <c r="Q38" s="357"/>
    </row>
    <row r="39" spans="1:17" ht="18" customHeight="1" thickBot="1" x14ac:dyDescent="0.2">
      <c r="C39" s="411" t="s">
        <v>409</v>
      </c>
      <c r="D39" s="411"/>
      <c r="E39" s="411"/>
      <c r="F39" s="186">
        <f>IF($N$4="床断熱",3.64,0)</f>
        <v>0</v>
      </c>
      <c r="G39" s="70">
        <v>0.99</v>
      </c>
      <c r="H39" s="212">
        <v>0.7</v>
      </c>
      <c r="I39" s="213">
        <f>F39*G39*H39</f>
        <v>0</v>
      </c>
      <c r="Q39" s="357"/>
    </row>
    <row r="40" spans="1:17" ht="20.25" customHeight="1" thickTop="1" thickBot="1" x14ac:dyDescent="0.2">
      <c r="C40" s="119" t="s">
        <v>425</v>
      </c>
      <c r="F40" s="190"/>
      <c r="H40" s="187" t="s">
        <v>191</v>
      </c>
      <c r="I40" s="186">
        <f>SUM(I36:I39)</f>
        <v>0</v>
      </c>
      <c r="Q40" s="358"/>
    </row>
    <row r="41" spans="1:17" ht="20.25" customHeight="1" thickTop="1" x14ac:dyDescent="0.15">
      <c r="C41" s="119" t="s">
        <v>433</v>
      </c>
      <c r="F41" s="190"/>
      <c r="Q41" s="214"/>
    </row>
    <row r="42" spans="1:17" ht="9" customHeight="1" x14ac:dyDescent="0.15">
      <c r="F42" s="190"/>
    </row>
    <row r="43" spans="1:17" s="42" customFormat="1" ht="18" customHeight="1" x14ac:dyDescent="0.15">
      <c r="A43" s="119"/>
      <c r="B43" s="119"/>
      <c r="C43" s="122" t="s">
        <v>509</v>
      </c>
      <c r="D43" s="119"/>
      <c r="E43" s="119"/>
      <c r="F43" s="119"/>
      <c r="G43" s="119"/>
      <c r="H43" s="119"/>
      <c r="I43" s="119"/>
      <c r="J43" s="119"/>
      <c r="K43" s="119"/>
      <c r="L43" s="119"/>
      <c r="M43" s="119"/>
      <c r="N43" s="119"/>
      <c r="O43" s="119"/>
      <c r="P43" s="120"/>
      <c r="Q43" s="215"/>
    </row>
    <row r="44" spans="1:17" s="4" customFormat="1" ht="60.75" customHeight="1" thickBot="1" x14ac:dyDescent="0.2">
      <c r="A44" s="171"/>
      <c r="B44" s="146"/>
      <c r="C44" s="314" t="s">
        <v>419</v>
      </c>
      <c r="D44" s="315"/>
      <c r="E44" s="316"/>
      <c r="F44" s="125" t="s">
        <v>186</v>
      </c>
      <c r="G44" s="125" t="s">
        <v>415</v>
      </c>
      <c r="H44" s="125" t="s">
        <v>23</v>
      </c>
      <c r="I44" s="125" t="s">
        <v>24</v>
      </c>
      <c r="J44" s="125" t="s">
        <v>287</v>
      </c>
      <c r="K44" s="125" t="s">
        <v>188</v>
      </c>
      <c r="L44" s="125" t="s">
        <v>285</v>
      </c>
      <c r="M44" s="125" t="s">
        <v>187</v>
      </c>
      <c r="N44" s="125" t="s">
        <v>288</v>
      </c>
      <c r="O44" s="146"/>
      <c r="P44" s="120"/>
      <c r="Q44" s="216"/>
    </row>
    <row r="45" spans="1:17" ht="18" customHeight="1" thickTop="1" x14ac:dyDescent="0.15">
      <c r="C45" s="345" t="s">
        <v>410</v>
      </c>
      <c r="D45" s="361"/>
      <c r="E45" s="177" t="s">
        <v>26</v>
      </c>
      <c r="F45" s="178">
        <f>IF($N$4="基礎断熱",4.71,0)</f>
        <v>0</v>
      </c>
      <c r="G45" s="62"/>
      <c r="H45" s="179">
        <v>1</v>
      </c>
      <c r="I45" s="178">
        <f>F45*G45*H45</f>
        <v>0</v>
      </c>
      <c r="J45" s="180">
        <f t="shared" ref="J45:J48" si="8">G45*0.034</f>
        <v>0</v>
      </c>
      <c r="K45" s="180" t="e">
        <f>INDEX(方位係数!$B$2:$J$10,MATCH($E45,方位係数!$A$2:$A$10,0),MATCH($D$4,方位係数!$B$1:$J$1))</f>
        <v>#N/A</v>
      </c>
      <c r="L45" s="180" t="e">
        <f t="shared" ref="L45:L48" si="9">$K45*$F45*$J45</f>
        <v>#N/A</v>
      </c>
      <c r="M45" s="180" t="e">
        <f>INDEX(方位係数!$B$13:$J$21,MATCH($E45,方位係数!$A$13:$A$21,0),MATCH($D$4,方位係数!$B$12:$J$12))</f>
        <v>#N/A</v>
      </c>
      <c r="N45" s="180" t="e">
        <f t="shared" ref="N45:N48" si="10">$M45*$F45*$J45</f>
        <v>#N/A</v>
      </c>
      <c r="O45" s="201"/>
      <c r="P45" s="157" t="s">
        <v>213</v>
      </c>
      <c r="Q45" s="342" t="s">
        <v>427</v>
      </c>
    </row>
    <row r="46" spans="1:17" ht="18" customHeight="1" x14ac:dyDescent="0.15">
      <c r="C46" s="345" t="s">
        <v>410</v>
      </c>
      <c r="D46" s="361"/>
      <c r="E46" s="177" t="s">
        <v>27</v>
      </c>
      <c r="F46" s="178">
        <f>IF($N$4="基礎断熱",3.28,0)</f>
        <v>0</v>
      </c>
      <c r="G46" s="59"/>
      <c r="H46" s="179">
        <v>1</v>
      </c>
      <c r="I46" s="178">
        <f>F46*G46*H46</f>
        <v>0</v>
      </c>
      <c r="J46" s="180">
        <f t="shared" si="8"/>
        <v>0</v>
      </c>
      <c r="K46" s="180" t="e">
        <f>INDEX(方位係数!$B$2:$J$10,MATCH($E46,方位係数!$A$2:$A$10,0),MATCH($D$4,方位係数!$B$1:$J$1))</f>
        <v>#N/A</v>
      </c>
      <c r="L46" s="180" t="e">
        <f t="shared" si="9"/>
        <v>#N/A</v>
      </c>
      <c r="M46" s="180" t="e">
        <f>INDEX(方位係数!$B$13:$J$21,MATCH($E46,方位係数!$A$13:$A$21,0),MATCH($D$4,方位係数!$B$12:$J$12))</f>
        <v>#N/A</v>
      </c>
      <c r="N46" s="180" t="e">
        <f t="shared" si="10"/>
        <v>#N/A</v>
      </c>
      <c r="O46" s="201"/>
      <c r="P46" s="157"/>
      <c r="Q46" s="343"/>
    </row>
    <row r="47" spans="1:17" ht="18" customHeight="1" x14ac:dyDescent="0.15">
      <c r="C47" s="345" t="s">
        <v>410</v>
      </c>
      <c r="D47" s="361"/>
      <c r="E47" s="177" t="s">
        <v>28</v>
      </c>
      <c r="F47" s="203">
        <f>IF($N$4="基礎断熱",4.71,0)</f>
        <v>0</v>
      </c>
      <c r="G47" s="59"/>
      <c r="H47" s="204">
        <v>1</v>
      </c>
      <c r="I47" s="203">
        <f>F47*G47*H47</f>
        <v>0</v>
      </c>
      <c r="J47" s="180">
        <f t="shared" si="8"/>
        <v>0</v>
      </c>
      <c r="K47" s="180" t="e">
        <f>INDEX(方位係数!$B$2:$J$10,MATCH($E47,方位係数!$A$2:$A$10,0),MATCH($D$4,方位係数!$B$1:$J$1))</f>
        <v>#N/A</v>
      </c>
      <c r="L47" s="180" t="e">
        <f t="shared" si="9"/>
        <v>#N/A</v>
      </c>
      <c r="M47" s="180" t="e">
        <f>INDEX(方位係数!$B$13:$J$21,MATCH($E47,方位係数!$A$13:$A$21,0),MATCH($D$4,方位係数!$B$12:$J$12))</f>
        <v>#N/A</v>
      </c>
      <c r="N47" s="180" t="e">
        <f t="shared" si="10"/>
        <v>#N/A</v>
      </c>
      <c r="O47" s="201"/>
      <c r="P47" s="157"/>
      <c r="Q47" s="343"/>
    </row>
    <row r="48" spans="1:17" ht="18" customHeight="1" thickBot="1" x14ac:dyDescent="0.2">
      <c r="C48" s="345" t="s">
        <v>410</v>
      </c>
      <c r="D48" s="361"/>
      <c r="E48" s="177" t="s">
        <v>29</v>
      </c>
      <c r="F48" s="213">
        <f>IF($N$4="基礎断熱",3.28,0)</f>
        <v>0</v>
      </c>
      <c r="G48" s="70"/>
      <c r="H48" s="212">
        <v>1</v>
      </c>
      <c r="I48" s="213">
        <f>F48*G48*H48</f>
        <v>0</v>
      </c>
      <c r="J48" s="184">
        <f t="shared" si="8"/>
        <v>0</v>
      </c>
      <c r="K48" s="206" t="e">
        <f>INDEX(方位係数!$B$2:$J$10,MATCH($E48,方位係数!$A$2:$A$10,0),MATCH($D$4,方位係数!$B$1:$J$1))</f>
        <v>#N/A</v>
      </c>
      <c r="L48" s="206" t="e">
        <f t="shared" si="9"/>
        <v>#N/A</v>
      </c>
      <c r="M48" s="206" t="e">
        <f>INDEX(方位係数!$B$13:$J$21,MATCH($E48,方位係数!$A$13:$A$21,0),MATCH($D$4,方位係数!$B$12:$J$12))</f>
        <v>#N/A</v>
      </c>
      <c r="N48" s="206" t="e">
        <f t="shared" si="10"/>
        <v>#N/A</v>
      </c>
      <c r="O48" s="201"/>
      <c r="P48" s="157"/>
      <c r="Q48" s="344"/>
    </row>
    <row r="49" spans="1:17" ht="18" customHeight="1" thickTop="1" thickBot="1" x14ac:dyDescent="0.2">
      <c r="C49" s="207"/>
      <c r="D49" s="359" t="s">
        <v>429</v>
      </c>
      <c r="E49" s="360"/>
      <c r="F49" s="186">
        <f>IF($N$4="基礎断熱",67.9+SUM(F45:F48),0)</f>
        <v>0</v>
      </c>
      <c r="G49" s="167"/>
      <c r="H49" s="187" t="s">
        <v>33</v>
      </c>
      <c r="I49" s="186">
        <f>SUM(I43:I48)</f>
        <v>0</v>
      </c>
      <c r="J49" s="127"/>
      <c r="K49" s="187" t="s">
        <v>411</v>
      </c>
      <c r="L49" s="189" t="e">
        <f>SUM(L40:L48)</f>
        <v>#N/A</v>
      </c>
      <c r="M49" s="187" t="s">
        <v>412</v>
      </c>
      <c r="N49" s="189" t="e">
        <f>SUM(N40:N48)</f>
        <v>#N/A</v>
      </c>
      <c r="O49" s="119"/>
    </row>
    <row r="50" spans="1:17" ht="48" customHeight="1" thickTop="1" x14ac:dyDescent="0.15">
      <c r="C50" s="304" t="s">
        <v>418</v>
      </c>
      <c r="D50" s="304"/>
      <c r="E50" s="304"/>
      <c r="F50" s="210" t="s">
        <v>34</v>
      </c>
      <c r="G50" s="211" t="s">
        <v>416</v>
      </c>
      <c r="H50" s="125" t="s">
        <v>23</v>
      </c>
      <c r="I50" s="125" t="s">
        <v>273</v>
      </c>
      <c r="Q50" s="342" t="s">
        <v>507</v>
      </c>
    </row>
    <row r="51" spans="1:17" ht="18" customHeight="1" thickBot="1" x14ac:dyDescent="0.2">
      <c r="C51" s="376" t="s">
        <v>413</v>
      </c>
      <c r="D51" s="377"/>
      <c r="E51" s="378"/>
      <c r="F51" s="194">
        <f>IF($N$4="基礎断熱",35.49,0)</f>
        <v>0</v>
      </c>
      <c r="G51" s="89">
        <v>0.99</v>
      </c>
      <c r="H51" s="217">
        <v>1</v>
      </c>
      <c r="I51" s="218">
        <f>F51*G51*H51</f>
        <v>0</v>
      </c>
      <c r="O51" s="119"/>
      <c r="P51" s="309" t="s">
        <v>213</v>
      </c>
      <c r="Q51" s="343"/>
    </row>
    <row r="52" spans="1:17" ht="18" customHeight="1" thickTop="1" x14ac:dyDescent="0.15">
      <c r="C52" s="119" t="s">
        <v>434</v>
      </c>
      <c r="D52" s="167"/>
      <c r="E52" s="167"/>
      <c r="F52" s="167"/>
      <c r="G52" s="167"/>
      <c r="H52" s="187" t="s">
        <v>191</v>
      </c>
      <c r="I52" s="186">
        <f>I51</f>
        <v>0</v>
      </c>
      <c r="J52" s="127"/>
      <c r="O52" s="119"/>
      <c r="P52" s="309"/>
      <c r="Q52" s="343"/>
    </row>
    <row r="53" spans="1:17" ht="9" customHeight="1" thickBot="1" x14ac:dyDescent="0.2">
      <c r="Q53" s="344"/>
    </row>
    <row r="54" spans="1:17" s="42" customFormat="1" ht="18" customHeight="1" thickTop="1" x14ac:dyDescent="0.15">
      <c r="A54" s="119"/>
      <c r="B54" s="119"/>
      <c r="C54" s="122" t="s">
        <v>508</v>
      </c>
      <c r="D54" s="119"/>
      <c r="E54" s="119"/>
      <c r="F54" s="119"/>
      <c r="G54" s="119"/>
      <c r="H54" s="119"/>
      <c r="I54" s="119"/>
      <c r="J54" s="119"/>
      <c r="K54" s="119"/>
      <c r="L54" s="119"/>
      <c r="M54" s="119"/>
      <c r="N54" s="119"/>
      <c r="O54" s="119"/>
      <c r="P54" s="119"/>
      <c r="Q54" s="219"/>
    </row>
    <row r="55" spans="1:17" s="4" customFormat="1" ht="66" customHeight="1" thickBot="1" x14ac:dyDescent="0.2">
      <c r="A55" s="171"/>
      <c r="B55" s="146"/>
      <c r="C55" s="314" t="s">
        <v>21</v>
      </c>
      <c r="D55" s="315"/>
      <c r="E55" s="316"/>
      <c r="F55" s="125" t="s">
        <v>186</v>
      </c>
      <c r="G55" s="125" t="s">
        <v>415</v>
      </c>
      <c r="H55" s="125" t="s">
        <v>23</v>
      </c>
      <c r="I55" s="147" t="s">
        <v>24</v>
      </c>
      <c r="J55" s="125" t="s">
        <v>286</v>
      </c>
      <c r="K55" s="125" t="s">
        <v>188</v>
      </c>
      <c r="L55" s="125" t="s">
        <v>285</v>
      </c>
      <c r="M55" s="125" t="s">
        <v>187</v>
      </c>
      <c r="N55" s="125" t="s">
        <v>288</v>
      </c>
      <c r="O55" s="172"/>
      <c r="P55" s="122"/>
      <c r="Q55" s="121"/>
    </row>
    <row r="56" spans="1:17" ht="18" customHeight="1" thickTop="1" x14ac:dyDescent="0.15">
      <c r="C56" s="401" t="s">
        <v>35</v>
      </c>
      <c r="D56" s="402"/>
      <c r="E56" s="403"/>
      <c r="F56" s="198">
        <f>IF($I$4="天井断熱",12.42+3.31,0)</f>
        <v>0</v>
      </c>
      <c r="G56" s="62"/>
      <c r="H56" s="199">
        <v>1</v>
      </c>
      <c r="I56" s="198">
        <f>F56*G56*H56</f>
        <v>0</v>
      </c>
      <c r="J56" s="200">
        <f>G56*0.034</f>
        <v>0</v>
      </c>
      <c r="K56" s="200">
        <v>1</v>
      </c>
      <c r="L56" s="200">
        <f>$K56*$F56*$J56</f>
        <v>0</v>
      </c>
      <c r="M56" s="200">
        <v>1</v>
      </c>
      <c r="N56" s="200">
        <f>$M56*$F56*$J56</f>
        <v>0</v>
      </c>
      <c r="P56" s="310" t="s">
        <v>213</v>
      </c>
      <c r="Q56" s="311" t="s">
        <v>214</v>
      </c>
    </row>
    <row r="57" spans="1:17" ht="18" customHeight="1" thickBot="1" x14ac:dyDescent="0.2">
      <c r="C57" s="412" t="s">
        <v>36</v>
      </c>
      <c r="D57" s="413"/>
      <c r="E57" s="414"/>
      <c r="F57" s="182">
        <f>IF($I$4="天井断熱",52.17,0)</f>
        <v>0</v>
      </c>
      <c r="G57" s="70"/>
      <c r="H57" s="183">
        <v>1</v>
      </c>
      <c r="I57" s="182">
        <f>F57*G57*H57</f>
        <v>0</v>
      </c>
      <c r="J57" s="184">
        <f>G57*0.034</f>
        <v>0</v>
      </c>
      <c r="K57" s="185">
        <v>1</v>
      </c>
      <c r="L57" s="185">
        <f>$K57*$F57*$J57</f>
        <v>0</v>
      </c>
      <c r="M57" s="185">
        <v>1</v>
      </c>
      <c r="N57" s="185">
        <f>$M57*$F57*$J57</f>
        <v>0</v>
      </c>
      <c r="P57" s="310"/>
      <c r="Q57" s="313"/>
    </row>
    <row r="58" spans="1:17" ht="18" customHeight="1" thickTop="1" x14ac:dyDescent="0.15">
      <c r="C58" s="220"/>
      <c r="D58" s="349" t="s">
        <v>37</v>
      </c>
      <c r="E58" s="350"/>
      <c r="F58" s="186">
        <f>SUM(F56:F57)</f>
        <v>0</v>
      </c>
      <c r="G58" s="167"/>
      <c r="H58" s="187" t="s">
        <v>192</v>
      </c>
      <c r="I58" s="186">
        <f>SUM(I56:I57)</f>
        <v>0</v>
      </c>
      <c r="J58" s="188"/>
      <c r="K58" s="187" t="s">
        <v>194</v>
      </c>
      <c r="L58" s="189">
        <f>SUM(L56:L57)</f>
        <v>0</v>
      </c>
      <c r="M58" s="187" t="s">
        <v>193</v>
      </c>
      <c r="N58" s="189">
        <f>SUM(N56:N57)</f>
        <v>0</v>
      </c>
    </row>
    <row r="59" spans="1:17" ht="13.5" customHeight="1" x14ac:dyDescent="0.15">
      <c r="O59" s="119"/>
      <c r="P59" s="341"/>
    </row>
    <row r="60" spans="1:17" ht="18" customHeight="1" x14ac:dyDescent="0.15">
      <c r="C60" s="122" t="s">
        <v>510</v>
      </c>
      <c r="P60" s="341"/>
    </row>
    <row r="61" spans="1:17" s="4" customFormat="1" ht="66" customHeight="1" thickBot="1" x14ac:dyDescent="0.2">
      <c r="A61" s="171"/>
      <c r="B61" s="146"/>
      <c r="C61" s="314" t="s">
        <v>21</v>
      </c>
      <c r="D61" s="316"/>
      <c r="E61" s="147" t="s">
        <v>22</v>
      </c>
      <c r="F61" s="125" t="s">
        <v>186</v>
      </c>
      <c r="G61" s="125" t="s">
        <v>415</v>
      </c>
      <c r="H61" s="125" t="s">
        <v>23</v>
      </c>
      <c r="I61" s="147" t="s">
        <v>24</v>
      </c>
      <c r="J61" s="125" t="s">
        <v>286</v>
      </c>
      <c r="K61" s="125" t="s">
        <v>188</v>
      </c>
      <c r="L61" s="125" t="s">
        <v>285</v>
      </c>
      <c r="M61" s="125" t="s">
        <v>187</v>
      </c>
      <c r="N61" s="125" t="s">
        <v>288</v>
      </c>
      <c r="O61" s="172"/>
      <c r="P61" s="122"/>
      <c r="Q61" s="121"/>
    </row>
    <row r="62" spans="1:17" ht="18" customHeight="1" thickTop="1" x14ac:dyDescent="0.15">
      <c r="C62" s="404" t="s">
        <v>80</v>
      </c>
      <c r="D62" s="407"/>
      <c r="E62" s="221" t="s">
        <v>38</v>
      </c>
      <c r="F62" s="174">
        <f>IF($I$4="屋根断熱",57.2,0)</f>
        <v>0</v>
      </c>
      <c r="G62" s="58"/>
      <c r="H62" s="175">
        <v>1</v>
      </c>
      <c r="I62" s="174">
        <f>F62*G62*H62</f>
        <v>0</v>
      </c>
      <c r="J62" s="176">
        <f t="shared" ref="J62:J71" si="11">G62*0.034</f>
        <v>0</v>
      </c>
      <c r="K62" s="176" t="e">
        <f>INDEX(方位係数!$B$2:$J$10,MATCH($E62,方位係数!$A$2:$A$10,0),MATCH($D$4,方位係数!$B$1:$J$1))</f>
        <v>#N/A</v>
      </c>
      <c r="L62" s="176" t="e">
        <f t="shared" ref="L62:L71" si="12">$K62*$F62*$J62</f>
        <v>#N/A</v>
      </c>
      <c r="M62" s="176" t="e">
        <f>INDEX(方位係数!$B$13:$J$21,MATCH($E62,方位係数!$A$13:$A$21,0),MATCH($D$4,方位係数!$B$12:$J$12))</f>
        <v>#N/A</v>
      </c>
      <c r="N62" s="176" t="e">
        <f t="shared" ref="N62:N71" si="13">$M62*$F62*$J62</f>
        <v>#N/A</v>
      </c>
      <c r="P62" s="120" t="s">
        <v>213</v>
      </c>
      <c r="Q62" s="311" t="s">
        <v>441</v>
      </c>
    </row>
    <row r="63" spans="1:17" ht="18" customHeight="1" x14ac:dyDescent="0.15">
      <c r="C63" s="345" t="s">
        <v>82</v>
      </c>
      <c r="D63" s="346"/>
      <c r="E63" s="222" t="s">
        <v>38</v>
      </c>
      <c r="F63" s="178">
        <f>IF($I$4="屋根断熱",13.16,0)</f>
        <v>0</v>
      </c>
      <c r="G63" s="59"/>
      <c r="H63" s="179">
        <v>1</v>
      </c>
      <c r="I63" s="178">
        <f>F63*G63*H63</f>
        <v>0</v>
      </c>
      <c r="J63" s="180">
        <f>G63*0.034</f>
        <v>0</v>
      </c>
      <c r="K63" s="180" t="e">
        <f>INDEX(方位係数!$B$2:$J$10,MATCH($E63,方位係数!$A$2:$A$10,0),MATCH($D$4,方位係数!$B$1:$J$1))</f>
        <v>#N/A</v>
      </c>
      <c r="L63" s="180" t="e">
        <f>$K63*$F63*$J63</f>
        <v>#N/A</v>
      </c>
      <c r="M63" s="180" t="e">
        <f>INDEX(方位係数!$B$13:$J$21,MATCH($E63,方位係数!$A$13:$A$21,0),MATCH($D$4,方位係数!$B$12:$J$12))</f>
        <v>#N/A</v>
      </c>
      <c r="N63" s="180" t="e">
        <f>$M63*$F63*$J63</f>
        <v>#N/A</v>
      </c>
      <c r="P63" s="120"/>
      <c r="Q63" s="312"/>
    </row>
    <row r="64" spans="1:17" ht="18" customHeight="1" x14ac:dyDescent="0.15">
      <c r="C64" s="406" t="s">
        <v>84</v>
      </c>
      <c r="D64" s="408"/>
      <c r="E64" s="223" t="s">
        <v>38</v>
      </c>
      <c r="F64" s="224">
        <f>IF($I$4="屋根断熱",5.56,0)</f>
        <v>0</v>
      </c>
      <c r="G64" s="70"/>
      <c r="H64" s="225">
        <v>1</v>
      </c>
      <c r="I64" s="224">
        <f>F64*G64*H64</f>
        <v>0</v>
      </c>
      <c r="J64" s="184">
        <f>G64*0.034</f>
        <v>0</v>
      </c>
      <c r="K64" s="184" t="e">
        <f>INDEX(方位係数!$B$2:$J$10,MATCH($E64,方位係数!$A$2:$A$10,0),MATCH($D$4,方位係数!$B$1:$J$1))</f>
        <v>#N/A</v>
      </c>
      <c r="L64" s="184" t="e">
        <f>$K64*$F64*$J64</f>
        <v>#N/A</v>
      </c>
      <c r="M64" s="184" t="e">
        <f>INDEX(方位係数!$B$13:$J$21,MATCH($E64,方位係数!$A$13:$A$21,0),MATCH($D$4,方位係数!$B$12:$J$12))</f>
        <v>#N/A</v>
      </c>
      <c r="N64" s="184" t="e">
        <f>$M64*$F64*$J64</f>
        <v>#N/A</v>
      </c>
      <c r="P64" s="120"/>
      <c r="Q64" s="312"/>
    </row>
    <row r="65" spans="1:17" ht="6" customHeight="1" x14ac:dyDescent="0.15">
      <c r="Q65" s="312"/>
    </row>
    <row r="66" spans="1:17" ht="18" customHeight="1" x14ac:dyDescent="0.15">
      <c r="C66" s="404" t="s">
        <v>81</v>
      </c>
      <c r="D66" s="407"/>
      <c r="E66" s="226" t="s">
        <v>29</v>
      </c>
      <c r="F66" s="198">
        <f>IF($I$4="屋根断熱",3.35,0)</f>
        <v>0</v>
      </c>
      <c r="G66" s="62"/>
      <c r="H66" s="199">
        <v>1</v>
      </c>
      <c r="I66" s="198">
        <f t="shared" ref="I66:I71" si="14">F66*G66*H66</f>
        <v>0</v>
      </c>
      <c r="J66" s="200">
        <f t="shared" si="11"/>
        <v>0</v>
      </c>
      <c r="K66" s="200" t="e">
        <f>INDEX(方位係数!$B$2:$J$10,MATCH($E66,方位係数!$A$2:$A$10,0),MATCH($D$4,方位係数!$B$1:$J$1))</f>
        <v>#N/A</v>
      </c>
      <c r="L66" s="200" t="e">
        <f t="shared" si="12"/>
        <v>#N/A</v>
      </c>
      <c r="M66" s="200" t="e">
        <f>INDEX(方位係数!$B$13:$J$21,MATCH($E66,方位係数!$A$13:$A$21,0),MATCH($D$4,方位係数!$B$12:$J$12))</f>
        <v>#N/A</v>
      </c>
      <c r="N66" s="200" t="e">
        <f t="shared" si="13"/>
        <v>#N/A</v>
      </c>
      <c r="P66" s="120"/>
      <c r="Q66" s="312"/>
    </row>
    <row r="67" spans="1:17" ht="18" customHeight="1" x14ac:dyDescent="0.15">
      <c r="C67" s="345" t="s">
        <v>81</v>
      </c>
      <c r="D67" s="346"/>
      <c r="E67" s="227" t="s">
        <v>27</v>
      </c>
      <c r="F67" s="178">
        <f>IF($I$4="屋根断熱",3.35,0)</f>
        <v>0</v>
      </c>
      <c r="G67" s="59"/>
      <c r="H67" s="179">
        <v>1</v>
      </c>
      <c r="I67" s="178">
        <f t="shared" si="14"/>
        <v>0</v>
      </c>
      <c r="J67" s="180">
        <f t="shared" si="11"/>
        <v>0</v>
      </c>
      <c r="K67" s="180" t="e">
        <f>INDEX(方位係数!$B$2:$J$10,MATCH($E67,方位係数!$A$2:$A$10,0),MATCH($D$4,方位係数!$B$1:$J$1))</f>
        <v>#N/A</v>
      </c>
      <c r="L67" s="180" t="e">
        <f t="shared" si="12"/>
        <v>#N/A</v>
      </c>
      <c r="M67" s="180" t="e">
        <f>INDEX(方位係数!$B$13:$J$21,MATCH($E67,方位係数!$A$13:$A$21,0),MATCH($D$4,方位係数!$B$12:$J$12))</f>
        <v>#N/A</v>
      </c>
      <c r="N67" s="180" t="e">
        <f t="shared" si="13"/>
        <v>#N/A</v>
      </c>
      <c r="P67" s="120"/>
      <c r="Q67" s="312"/>
    </row>
    <row r="68" spans="1:17" ht="18" customHeight="1" x14ac:dyDescent="0.15">
      <c r="C68" s="345" t="s">
        <v>83</v>
      </c>
      <c r="D68" s="346"/>
      <c r="E68" s="227" t="s">
        <v>29</v>
      </c>
      <c r="F68" s="178">
        <f>IF($I$4="屋根断熱",0.58,0)</f>
        <v>0</v>
      </c>
      <c r="G68" s="59"/>
      <c r="H68" s="179">
        <v>1</v>
      </c>
      <c r="I68" s="178">
        <f t="shared" si="14"/>
        <v>0</v>
      </c>
      <c r="J68" s="180">
        <f t="shared" si="11"/>
        <v>0</v>
      </c>
      <c r="K68" s="180" t="e">
        <f>INDEX(方位係数!$B$2:$J$10,MATCH($E68,方位係数!$A$2:$A$10,0),MATCH($D$4,方位係数!$B$1:$J$1))</f>
        <v>#N/A</v>
      </c>
      <c r="L68" s="180" t="e">
        <f t="shared" si="12"/>
        <v>#N/A</v>
      </c>
      <c r="M68" s="180" t="e">
        <f>INDEX(方位係数!$B$13:$J$21,MATCH($E68,方位係数!$A$13:$A$21,0),MATCH($D$4,方位係数!$B$12:$J$12))</f>
        <v>#N/A</v>
      </c>
      <c r="N68" s="180" t="e">
        <f t="shared" si="13"/>
        <v>#N/A</v>
      </c>
      <c r="P68" s="120"/>
      <c r="Q68" s="312"/>
    </row>
    <row r="69" spans="1:17" ht="18" customHeight="1" x14ac:dyDescent="0.15">
      <c r="C69" s="345" t="s">
        <v>83</v>
      </c>
      <c r="D69" s="346"/>
      <c r="E69" s="227" t="s">
        <v>27</v>
      </c>
      <c r="F69" s="178">
        <f>IF($I$4="屋根断熱",0.58,0)</f>
        <v>0</v>
      </c>
      <c r="G69" s="59"/>
      <c r="H69" s="179">
        <v>1</v>
      </c>
      <c r="I69" s="178">
        <f t="shared" si="14"/>
        <v>0</v>
      </c>
      <c r="J69" s="180">
        <f t="shared" si="11"/>
        <v>0</v>
      </c>
      <c r="K69" s="180" t="e">
        <f>INDEX(方位係数!$B$2:$J$10,MATCH($E69,方位係数!$A$2:$A$10,0),MATCH($D$4,方位係数!$B$1:$J$1))</f>
        <v>#N/A</v>
      </c>
      <c r="L69" s="180" t="e">
        <f t="shared" si="12"/>
        <v>#N/A</v>
      </c>
      <c r="M69" s="180" t="e">
        <f>INDEX(方位係数!$B$13:$J$21,MATCH($E69,方位係数!$A$13:$A$21,0),MATCH($D$4,方位係数!$B$12:$J$12))</f>
        <v>#N/A</v>
      </c>
      <c r="N69" s="180" t="e">
        <f t="shared" si="13"/>
        <v>#N/A</v>
      </c>
      <c r="P69" s="120"/>
      <c r="Q69" s="312"/>
    </row>
    <row r="70" spans="1:17" ht="18" customHeight="1" x14ac:dyDescent="0.15">
      <c r="C70" s="345" t="s">
        <v>85</v>
      </c>
      <c r="D70" s="346"/>
      <c r="E70" s="227" t="s">
        <v>26</v>
      </c>
      <c r="F70" s="178">
        <f>IF($I$4="屋根断熱",0.21,0)</f>
        <v>0</v>
      </c>
      <c r="G70" s="59"/>
      <c r="H70" s="179">
        <v>1</v>
      </c>
      <c r="I70" s="178">
        <f t="shared" si="14"/>
        <v>0</v>
      </c>
      <c r="J70" s="180">
        <f t="shared" si="11"/>
        <v>0</v>
      </c>
      <c r="K70" s="180" t="e">
        <f>INDEX(方位係数!$B$2:$J$10,MATCH($E70,方位係数!$A$2:$A$10,0),MATCH($D$4,方位係数!$B$1:$J$1))</f>
        <v>#N/A</v>
      </c>
      <c r="L70" s="180" t="e">
        <f t="shared" si="12"/>
        <v>#N/A</v>
      </c>
      <c r="M70" s="180" t="e">
        <f>INDEX(方位係数!$B$13:$J$21,MATCH($E70,方位係数!$A$13:$A$21,0),MATCH($D$4,方位係数!$B$12:$J$12))</f>
        <v>#N/A</v>
      </c>
      <c r="N70" s="180" t="e">
        <f t="shared" si="13"/>
        <v>#N/A</v>
      </c>
      <c r="P70" s="120"/>
      <c r="Q70" s="312"/>
    </row>
    <row r="71" spans="1:17" ht="18" customHeight="1" thickBot="1" x14ac:dyDescent="0.2">
      <c r="C71" s="406" t="s">
        <v>85</v>
      </c>
      <c r="D71" s="363"/>
      <c r="E71" s="228" t="s">
        <v>28</v>
      </c>
      <c r="F71" s="182">
        <f>IF($I$4="屋根断熱",0.21,0)</f>
        <v>0</v>
      </c>
      <c r="G71" s="60"/>
      <c r="H71" s="183">
        <v>1</v>
      </c>
      <c r="I71" s="182">
        <f t="shared" si="14"/>
        <v>0</v>
      </c>
      <c r="J71" s="185">
        <f t="shared" si="11"/>
        <v>0</v>
      </c>
      <c r="K71" s="185" t="e">
        <f>INDEX(方位係数!$B$2:$J$10,MATCH($E71,方位係数!$A$2:$A$10,0),MATCH($D$4,方位係数!$B$1:$J$1))</f>
        <v>#N/A</v>
      </c>
      <c r="L71" s="185" t="e">
        <f t="shared" si="12"/>
        <v>#N/A</v>
      </c>
      <c r="M71" s="185" t="e">
        <f>INDEX(方位係数!$B$13:$J$21,MATCH($E71,方位係数!$A$13:$A$21,0),MATCH($D$4,方位係数!$B$12:$J$12))</f>
        <v>#N/A</v>
      </c>
      <c r="N71" s="185" t="e">
        <f t="shared" si="13"/>
        <v>#N/A</v>
      </c>
      <c r="P71" s="120"/>
      <c r="Q71" s="313"/>
    </row>
    <row r="72" spans="1:17" ht="18" customHeight="1" thickTop="1" x14ac:dyDescent="0.15">
      <c r="D72" s="349" t="s">
        <v>39</v>
      </c>
      <c r="E72" s="350"/>
      <c r="F72" s="186">
        <f>SUM(F62:F71)</f>
        <v>0</v>
      </c>
      <c r="G72" s="167"/>
      <c r="H72" s="187" t="s">
        <v>195</v>
      </c>
      <c r="I72" s="186">
        <f>SUM(I62:I71)</f>
        <v>0</v>
      </c>
      <c r="J72" s="188"/>
      <c r="K72" s="187" t="s">
        <v>197</v>
      </c>
      <c r="L72" s="189" t="e">
        <f>SUM(L62:L71)</f>
        <v>#N/A</v>
      </c>
      <c r="M72" s="187" t="s">
        <v>196</v>
      </c>
      <c r="N72" s="189" t="e">
        <f>SUM(N62:N71)</f>
        <v>#N/A</v>
      </c>
    </row>
    <row r="73" spans="1:17" ht="12" customHeight="1" x14ac:dyDescent="0.15"/>
    <row r="74" spans="1:17" x14ac:dyDescent="0.15">
      <c r="C74" s="122" t="s">
        <v>414</v>
      </c>
    </row>
    <row r="75" spans="1:17" s="4" customFormat="1" ht="66" customHeight="1" thickBot="1" x14ac:dyDescent="0.2">
      <c r="A75" s="171"/>
      <c r="B75" s="146"/>
      <c r="C75" s="147" t="s">
        <v>40</v>
      </c>
      <c r="D75" s="147" t="s">
        <v>22</v>
      </c>
      <c r="E75" s="125" t="s">
        <v>186</v>
      </c>
      <c r="F75" s="125" t="s">
        <v>226</v>
      </c>
      <c r="G75" s="125" t="s">
        <v>23</v>
      </c>
      <c r="H75" s="147" t="s">
        <v>24</v>
      </c>
      <c r="I75" s="125" t="s">
        <v>289</v>
      </c>
      <c r="J75" s="125" t="s">
        <v>188</v>
      </c>
      <c r="K75" s="125" t="s">
        <v>381</v>
      </c>
      <c r="L75" s="125" t="s">
        <v>187</v>
      </c>
      <c r="M75" s="125" t="s">
        <v>382</v>
      </c>
      <c r="N75" s="172"/>
      <c r="O75" s="172"/>
      <c r="P75" s="122"/>
      <c r="Q75" s="121"/>
    </row>
    <row r="76" spans="1:17" ht="18.75" customHeight="1" thickTop="1" x14ac:dyDescent="0.15">
      <c r="C76" s="229" t="s">
        <v>52</v>
      </c>
      <c r="D76" s="197" t="s">
        <v>27</v>
      </c>
      <c r="E76" s="198">
        <v>1.89</v>
      </c>
      <c r="F76" s="78"/>
      <c r="G76" s="199">
        <v>1</v>
      </c>
      <c r="H76" s="198">
        <f>E76*F76*G76</f>
        <v>0</v>
      </c>
      <c r="I76" s="200">
        <f>F76*0.034</f>
        <v>0</v>
      </c>
      <c r="J76" s="200" t="e">
        <f>INDEX(方位係数!$B$2:$J$10,MATCH($D76,方位係数!$A$2:$A$10,0),MATCH($D$4,方位係数!$B$1:$J$1))</f>
        <v>#N/A</v>
      </c>
      <c r="K76" s="200" t="e">
        <f>$J76*$E76*$I76</f>
        <v>#N/A</v>
      </c>
      <c r="L76" s="200" t="e">
        <f>INDEX(方位係数!$B$13:$J$21,MATCH($D76,方位係数!$A$13:$A$21,0),MATCH($D$4,方位係数!$B$12:$J$12))</f>
        <v>#N/A</v>
      </c>
      <c r="M76" s="200" t="e">
        <f>$L76*$E76*$I76</f>
        <v>#N/A</v>
      </c>
      <c r="P76" s="309" t="s">
        <v>213</v>
      </c>
      <c r="Q76" s="311" t="s">
        <v>426</v>
      </c>
    </row>
    <row r="77" spans="1:17" ht="18.75" customHeight="1" thickBot="1" x14ac:dyDescent="0.2">
      <c r="C77" s="230" t="s">
        <v>215</v>
      </c>
      <c r="D77" s="181" t="s">
        <v>28</v>
      </c>
      <c r="E77" s="182" t="e">
        <f>IF(INT(LEFT($D$4,1))&lt;4,1.35,1.62)</f>
        <v>#VALUE!</v>
      </c>
      <c r="F77" s="79"/>
      <c r="G77" s="183">
        <v>1</v>
      </c>
      <c r="H77" s="182" t="e">
        <f t="shared" ref="H77" si="15">E77*F77*G77</f>
        <v>#VALUE!</v>
      </c>
      <c r="I77" s="185">
        <f>F77*0.034</f>
        <v>0</v>
      </c>
      <c r="J77" s="185" t="e">
        <f>INDEX(方位係数!$B$2:$J$10,MATCH($D77,方位係数!$A$2:$A$10,0),MATCH($D$4,方位係数!$B$1:$J$1))</f>
        <v>#N/A</v>
      </c>
      <c r="K77" s="185" t="e">
        <f>$J77*$E77*$I77</f>
        <v>#N/A</v>
      </c>
      <c r="L77" s="185" t="e">
        <f>INDEX(方位係数!$B$13:$J$21,MATCH($D77,方位係数!$A$13:$A$21,0),MATCH($D$4,方位係数!$B$12:$J$12))</f>
        <v>#N/A</v>
      </c>
      <c r="M77" s="185" t="e">
        <f>$L77*$E77*$I77</f>
        <v>#N/A</v>
      </c>
      <c r="P77" s="309"/>
      <c r="Q77" s="312"/>
    </row>
    <row r="78" spans="1:17" ht="18.75" customHeight="1" thickTop="1" thickBot="1" x14ac:dyDescent="0.2">
      <c r="C78" s="400" t="s">
        <v>53</v>
      </c>
      <c r="D78" s="400"/>
      <c r="E78" s="186" t="e">
        <f>SUM(E76:E77)</f>
        <v>#VALUE!</v>
      </c>
      <c r="F78" s="167"/>
      <c r="G78" s="187" t="s">
        <v>54</v>
      </c>
      <c r="H78" s="186" t="e">
        <f>SUM(H76:H77)</f>
        <v>#VALUE!</v>
      </c>
      <c r="I78" s="167"/>
      <c r="J78" s="187" t="s">
        <v>203</v>
      </c>
      <c r="K78" s="189" t="e">
        <f>SUM(K76:K77)</f>
        <v>#N/A</v>
      </c>
      <c r="L78" s="187" t="s">
        <v>202</v>
      </c>
      <c r="M78" s="189" t="e">
        <f>SUM(M76:M77)</f>
        <v>#N/A</v>
      </c>
      <c r="P78" s="309"/>
      <c r="Q78" s="313"/>
    </row>
    <row r="79" spans="1:17" ht="9.75" customHeight="1" thickTop="1" x14ac:dyDescent="0.15">
      <c r="C79" s="127"/>
      <c r="P79" s="309"/>
    </row>
    <row r="80" spans="1:17" ht="18" customHeight="1" x14ac:dyDescent="0.15">
      <c r="C80" s="119" t="s">
        <v>86</v>
      </c>
      <c r="P80" s="156"/>
    </row>
    <row r="81" spans="1:17" s="4" customFormat="1" ht="66" customHeight="1" thickBot="1" x14ac:dyDescent="0.2">
      <c r="A81" s="171"/>
      <c r="B81" s="146"/>
      <c r="C81" s="147" t="s">
        <v>40</v>
      </c>
      <c r="D81" s="147" t="s">
        <v>22</v>
      </c>
      <c r="E81" s="125" t="s">
        <v>186</v>
      </c>
      <c r="F81" s="125" t="s">
        <v>226</v>
      </c>
      <c r="G81" s="125" t="s">
        <v>23</v>
      </c>
      <c r="H81" s="147" t="s">
        <v>24</v>
      </c>
      <c r="I81" s="125" t="s">
        <v>289</v>
      </c>
      <c r="J81" s="125" t="s">
        <v>290</v>
      </c>
      <c r="K81" s="125" t="s">
        <v>188</v>
      </c>
      <c r="L81" s="125" t="s">
        <v>379</v>
      </c>
      <c r="M81" s="125" t="s">
        <v>291</v>
      </c>
      <c r="N81" s="125" t="s">
        <v>187</v>
      </c>
      <c r="O81" s="125" t="s">
        <v>380</v>
      </c>
      <c r="P81" s="122"/>
      <c r="Q81" s="121"/>
    </row>
    <row r="82" spans="1:17" ht="18.75" customHeight="1" thickTop="1" x14ac:dyDescent="0.15">
      <c r="C82" s="231" t="s">
        <v>41</v>
      </c>
      <c r="D82" s="173" t="s">
        <v>26</v>
      </c>
      <c r="E82" s="232" t="e">
        <f>IF(INT(LEFT($D$4,1))&lt;4,2.15,4.59)</f>
        <v>#VALUE!</v>
      </c>
      <c r="F82" s="63"/>
      <c r="G82" s="233">
        <v>1</v>
      </c>
      <c r="H82" s="232" t="e">
        <f t="shared" ref="H82:H97" si="16">E82*F82*G82</f>
        <v>#VALUE!</v>
      </c>
      <c r="I82" s="58"/>
      <c r="J82" s="232">
        <v>0.51</v>
      </c>
      <c r="K82" s="234" t="e">
        <f>INDEX(方位係数!$B$2:$J$10,MATCH($D82,方位係数!$A$2:$A$10,0),MATCH($D$4,方位係数!$B$1:$J$1))</f>
        <v>#N/A</v>
      </c>
      <c r="L82" s="234" t="e">
        <f t="shared" ref="L82:L98" si="17">$I82*$K82*$J82*$E82</f>
        <v>#N/A</v>
      </c>
      <c r="M82" s="232">
        <v>0.93</v>
      </c>
      <c r="N82" s="234" t="e">
        <f>INDEX(方位係数!$B$13:$J$21,MATCH($D82,方位係数!$A$13:$A$21,0),MATCH($D$4,方位係数!$B$12:$J$12))</f>
        <v>#N/A</v>
      </c>
      <c r="O82" s="234" t="e">
        <f t="shared" ref="O82:O98" si="18">$I82*$N82*$M82*$E82</f>
        <v>#N/A</v>
      </c>
      <c r="P82" s="309" t="s">
        <v>213</v>
      </c>
      <c r="Q82" s="311" t="s">
        <v>442</v>
      </c>
    </row>
    <row r="83" spans="1:17" ht="18.75" customHeight="1" x14ac:dyDescent="0.15">
      <c r="C83" s="235" t="s">
        <v>198</v>
      </c>
      <c r="D83" s="177" t="s">
        <v>26</v>
      </c>
      <c r="E83" s="236" t="e">
        <f>IF(INT(LEFT($D$4,1))&lt;4,2.97,3.47)</f>
        <v>#VALUE!</v>
      </c>
      <c r="F83" s="64"/>
      <c r="G83" s="237">
        <v>1</v>
      </c>
      <c r="H83" s="236" t="e">
        <f t="shared" si="16"/>
        <v>#VALUE!</v>
      </c>
      <c r="I83" s="59"/>
      <c r="J83" s="236">
        <v>0.51</v>
      </c>
      <c r="K83" s="238" t="e">
        <f>INDEX(方位係数!$B$2:$J$10,MATCH($D83,方位係数!$A$2:$A$10,0),MATCH($D$4,方位係数!$B$1:$J$1))</f>
        <v>#N/A</v>
      </c>
      <c r="L83" s="238" t="e">
        <f t="shared" si="17"/>
        <v>#N/A</v>
      </c>
      <c r="M83" s="236">
        <v>0.93</v>
      </c>
      <c r="N83" s="238" t="e">
        <f>INDEX(方位係数!$B$13:$J$21,MATCH($D83,方位係数!$A$13:$A$21,0),MATCH($D$4,方位係数!$B$12:$J$12))</f>
        <v>#N/A</v>
      </c>
      <c r="O83" s="238" t="e">
        <f t="shared" si="18"/>
        <v>#N/A</v>
      </c>
      <c r="P83" s="309"/>
      <c r="Q83" s="312"/>
    </row>
    <row r="84" spans="1:17" ht="18.75" customHeight="1" x14ac:dyDescent="0.15">
      <c r="C84" s="235" t="s">
        <v>198</v>
      </c>
      <c r="D84" s="177" t="s">
        <v>26</v>
      </c>
      <c r="E84" s="236" t="e">
        <f>IF(INT(LEFT($D$4,1))&lt;4,2.15,3.47)</f>
        <v>#VALUE!</v>
      </c>
      <c r="F84" s="64"/>
      <c r="G84" s="237">
        <v>1</v>
      </c>
      <c r="H84" s="236" t="e">
        <f t="shared" si="16"/>
        <v>#VALUE!</v>
      </c>
      <c r="I84" s="59"/>
      <c r="J84" s="236">
        <v>0.51</v>
      </c>
      <c r="K84" s="238" t="e">
        <f>INDEX(方位係数!$B$2:$J$10,MATCH($D84,方位係数!$A$2:$A$10,0),MATCH($D$4,方位係数!$B$1:$J$1))</f>
        <v>#N/A</v>
      </c>
      <c r="L84" s="238" t="e">
        <f t="shared" si="17"/>
        <v>#N/A</v>
      </c>
      <c r="M84" s="236">
        <v>0.93</v>
      </c>
      <c r="N84" s="238" t="e">
        <f>INDEX(方位係数!$B$13:$J$21,MATCH($D84,方位係数!$A$13:$A$21,0),MATCH($D$4,方位係数!$B$12:$J$12))</f>
        <v>#N/A</v>
      </c>
      <c r="O84" s="238" t="e">
        <f t="shared" si="18"/>
        <v>#N/A</v>
      </c>
      <c r="P84" s="309"/>
      <c r="Q84" s="312"/>
    </row>
    <row r="85" spans="1:17" ht="18.75" customHeight="1" x14ac:dyDescent="0.15">
      <c r="C85" s="235" t="s">
        <v>198</v>
      </c>
      <c r="D85" s="177" t="s">
        <v>29</v>
      </c>
      <c r="E85" s="236">
        <v>2.15</v>
      </c>
      <c r="F85" s="64"/>
      <c r="G85" s="237">
        <v>1</v>
      </c>
      <c r="H85" s="236">
        <f t="shared" si="16"/>
        <v>0</v>
      </c>
      <c r="I85" s="59"/>
      <c r="J85" s="236">
        <v>0.51</v>
      </c>
      <c r="K85" s="238" t="e">
        <f>INDEX(方位係数!$B$2:$J$10,MATCH($D85,方位係数!$A$2:$A$10,0),MATCH($D$4,方位係数!$B$1:$J$1))</f>
        <v>#N/A</v>
      </c>
      <c r="L85" s="238" t="e">
        <f t="shared" si="17"/>
        <v>#N/A</v>
      </c>
      <c r="M85" s="236">
        <v>0.93</v>
      </c>
      <c r="N85" s="238" t="e">
        <f>INDEX(方位係数!$B$13:$J$21,MATCH($D85,方位係数!$A$13:$A$21,0),MATCH($D$4,方位係数!$B$12:$J$12))</f>
        <v>#N/A</v>
      </c>
      <c r="O85" s="238" t="e">
        <f t="shared" si="18"/>
        <v>#N/A</v>
      </c>
      <c r="P85" s="309"/>
      <c r="Q85" s="312"/>
    </row>
    <row r="86" spans="1:17" ht="18.75" customHeight="1" x14ac:dyDescent="0.15">
      <c r="C86" s="235" t="s">
        <v>42</v>
      </c>
      <c r="D86" s="177" t="s">
        <v>29</v>
      </c>
      <c r="E86" s="236" t="e">
        <f>IF(INT(LEFT($D$4,1))&lt;4,0.6,0.98)</f>
        <v>#VALUE!</v>
      </c>
      <c r="F86" s="64"/>
      <c r="G86" s="237">
        <v>1</v>
      </c>
      <c r="H86" s="236" t="e">
        <f t="shared" si="16"/>
        <v>#VALUE!</v>
      </c>
      <c r="I86" s="59"/>
      <c r="J86" s="236">
        <v>0.51</v>
      </c>
      <c r="K86" s="238" t="e">
        <f>INDEX(方位係数!$B$2:$J$10,MATCH($D86,方位係数!$A$2:$A$10,0),MATCH($D$4,方位係数!$B$1:$J$1))</f>
        <v>#N/A</v>
      </c>
      <c r="L86" s="238" t="e">
        <f t="shared" si="17"/>
        <v>#N/A</v>
      </c>
      <c r="M86" s="236">
        <v>0.93</v>
      </c>
      <c r="N86" s="238" t="e">
        <f>INDEX(方位係数!$B$13:$J$21,MATCH($D86,方位係数!$A$13:$A$21,0),MATCH($D$4,方位係数!$B$12:$J$12))</f>
        <v>#N/A</v>
      </c>
      <c r="O86" s="238" t="e">
        <f t="shared" si="18"/>
        <v>#N/A</v>
      </c>
      <c r="Q86" s="312"/>
    </row>
    <row r="87" spans="1:17" ht="18.75" customHeight="1" x14ac:dyDescent="0.15">
      <c r="C87" s="235" t="s">
        <v>43</v>
      </c>
      <c r="D87" s="177" t="s">
        <v>27</v>
      </c>
      <c r="E87" s="236" t="e">
        <f>IF(INT(LEFT($D$4,1))&lt;4,0.35,0.54)</f>
        <v>#VALUE!</v>
      </c>
      <c r="F87" s="64"/>
      <c r="G87" s="237">
        <v>1</v>
      </c>
      <c r="H87" s="236" t="e">
        <f>E87*F87*G87</f>
        <v>#VALUE!</v>
      </c>
      <c r="I87" s="59"/>
      <c r="J87" s="236">
        <v>0.51</v>
      </c>
      <c r="K87" s="238" t="e">
        <f>INDEX(方位係数!$B$2:$J$10,MATCH($D87,方位係数!$A$2:$A$10,0),MATCH($D$4,方位係数!$B$1:$J$1))</f>
        <v>#N/A</v>
      </c>
      <c r="L87" s="238" t="e">
        <f t="shared" si="17"/>
        <v>#N/A</v>
      </c>
      <c r="M87" s="236">
        <v>0.93</v>
      </c>
      <c r="N87" s="238" t="e">
        <f>INDEX(方位係数!$B$13:$J$21,MATCH($D87,方位係数!$A$13:$A$21,0),MATCH($D$4,方位係数!$B$12:$J$12))</f>
        <v>#N/A</v>
      </c>
      <c r="O87" s="238" t="e">
        <f t="shared" si="18"/>
        <v>#N/A</v>
      </c>
      <c r="Q87" s="312"/>
    </row>
    <row r="88" spans="1:17" ht="18.75" customHeight="1" thickBot="1" x14ac:dyDescent="0.2">
      <c r="C88" s="235" t="s">
        <v>44</v>
      </c>
      <c r="D88" s="177" t="s">
        <v>28</v>
      </c>
      <c r="E88" s="236" t="e">
        <f>IF(INT(LEFT($D$4,1))&lt;4,0.35,0.54)</f>
        <v>#VALUE!</v>
      </c>
      <c r="F88" s="64"/>
      <c r="G88" s="237">
        <v>1</v>
      </c>
      <c r="H88" s="236" t="e">
        <f t="shared" si="16"/>
        <v>#VALUE!</v>
      </c>
      <c r="I88" s="59"/>
      <c r="J88" s="236">
        <v>0.51</v>
      </c>
      <c r="K88" s="238" t="e">
        <f>INDEX(方位係数!$B$2:$J$10,MATCH($D88,方位係数!$A$2:$A$10,0),MATCH($D$4,方位係数!$B$1:$J$1))</f>
        <v>#N/A</v>
      </c>
      <c r="L88" s="238" t="e">
        <f t="shared" si="17"/>
        <v>#N/A</v>
      </c>
      <c r="M88" s="236">
        <v>0.93</v>
      </c>
      <c r="N88" s="238" t="e">
        <f>INDEX(方位係数!$B$13:$J$21,MATCH($D88,方位係数!$A$13:$A$21,0),MATCH($D$4,方位係数!$B$12:$J$12))</f>
        <v>#N/A</v>
      </c>
      <c r="O88" s="238" t="e">
        <f t="shared" si="18"/>
        <v>#N/A</v>
      </c>
      <c r="Q88" s="313"/>
    </row>
    <row r="89" spans="1:17" ht="18.75" customHeight="1" thickTop="1" x14ac:dyDescent="0.15">
      <c r="C89" s="235" t="s">
        <v>45</v>
      </c>
      <c r="D89" s="177" t="s">
        <v>28</v>
      </c>
      <c r="E89" s="236" t="e">
        <f>IF(INT(LEFT($D$4,1))&lt;4,0.35,0.54)</f>
        <v>#VALUE!</v>
      </c>
      <c r="F89" s="64"/>
      <c r="G89" s="237">
        <v>1</v>
      </c>
      <c r="H89" s="236" t="e">
        <f t="shared" si="16"/>
        <v>#VALUE!</v>
      </c>
      <c r="I89" s="59"/>
      <c r="J89" s="236">
        <v>0.51</v>
      </c>
      <c r="K89" s="238" t="e">
        <f>INDEX(方位係数!$B$2:$J$10,MATCH($D89,方位係数!$A$2:$A$10,0),MATCH($D$4,方位係数!$B$1:$J$1))</f>
        <v>#N/A</v>
      </c>
      <c r="L89" s="238" t="e">
        <f t="shared" si="17"/>
        <v>#N/A</v>
      </c>
      <c r="M89" s="236">
        <v>0.93</v>
      </c>
      <c r="N89" s="238" t="e">
        <f>INDEX(方位係数!$B$13:$J$21,MATCH($D89,方位係数!$A$13:$A$21,0),MATCH($D$4,方位係数!$B$12:$J$12))</f>
        <v>#N/A</v>
      </c>
      <c r="O89" s="238" t="e">
        <f t="shared" si="18"/>
        <v>#N/A</v>
      </c>
    </row>
    <row r="90" spans="1:17" ht="18.75" customHeight="1" x14ac:dyDescent="0.15">
      <c r="C90" s="235" t="s">
        <v>46</v>
      </c>
      <c r="D90" s="177" t="s">
        <v>28</v>
      </c>
      <c r="E90" s="236" t="e">
        <f>IF(INT(LEFT($D$4,1))&lt;4,0.35,0.54)</f>
        <v>#VALUE!</v>
      </c>
      <c r="F90" s="64"/>
      <c r="G90" s="237">
        <v>1</v>
      </c>
      <c r="H90" s="236" t="e">
        <f t="shared" si="16"/>
        <v>#VALUE!</v>
      </c>
      <c r="I90" s="59"/>
      <c r="J90" s="236">
        <v>0.51</v>
      </c>
      <c r="K90" s="238" t="e">
        <f>INDEX(方位係数!$B$2:$J$10,MATCH($D90,方位係数!$A$2:$A$10,0),MATCH($D$4,方位係数!$B$1:$J$1))</f>
        <v>#N/A</v>
      </c>
      <c r="L90" s="238" t="e">
        <f t="shared" si="17"/>
        <v>#N/A</v>
      </c>
      <c r="M90" s="236">
        <v>0.93</v>
      </c>
      <c r="N90" s="238" t="e">
        <f>INDEX(方位係数!$B$13:$J$21,MATCH($D90,方位係数!$A$13:$A$21,0),MATCH($D$4,方位係数!$B$12:$J$12))</f>
        <v>#N/A</v>
      </c>
      <c r="O90" s="238" t="e">
        <f t="shared" si="18"/>
        <v>#N/A</v>
      </c>
    </row>
    <row r="91" spans="1:17" ht="31.5" customHeight="1" x14ac:dyDescent="0.15">
      <c r="C91" s="239" t="s">
        <v>87</v>
      </c>
      <c r="D91" s="177" t="s">
        <v>27</v>
      </c>
      <c r="E91" s="236" t="e">
        <f>IF(INT(LEFT($D$4,1))&lt;4,0,0.54)</f>
        <v>#VALUE!</v>
      </c>
      <c r="F91" s="64"/>
      <c r="G91" s="237">
        <v>1</v>
      </c>
      <c r="H91" s="236" t="e">
        <f t="shared" si="16"/>
        <v>#VALUE!</v>
      </c>
      <c r="I91" s="59"/>
      <c r="J91" s="236">
        <v>0.51</v>
      </c>
      <c r="K91" s="238" t="e">
        <f>INDEX(方位係数!$B$2:$J$10,MATCH($D91,方位係数!$A$2:$A$10,0),MATCH($D$4,方位係数!$B$1:$J$1))</f>
        <v>#N/A</v>
      </c>
      <c r="L91" s="238" t="e">
        <f t="shared" si="17"/>
        <v>#N/A</v>
      </c>
      <c r="M91" s="236">
        <v>0.93</v>
      </c>
      <c r="N91" s="238" t="e">
        <f>INDEX(方位係数!$B$13:$J$21,MATCH($D91,方位係数!$A$13:$A$21,0),MATCH($D$4,方位係数!$B$12:$J$12))</f>
        <v>#N/A</v>
      </c>
      <c r="O91" s="238" t="e">
        <f t="shared" si="18"/>
        <v>#N/A</v>
      </c>
    </row>
    <row r="92" spans="1:17" ht="18.75" customHeight="1" x14ac:dyDescent="0.15">
      <c r="C92" s="235" t="s">
        <v>47</v>
      </c>
      <c r="D92" s="177" t="s">
        <v>27</v>
      </c>
      <c r="E92" s="236" t="e">
        <f>IF(INT(LEFT($D$4,1))&lt;4,1.31,1.73)</f>
        <v>#VALUE!</v>
      </c>
      <c r="F92" s="64"/>
      <c r="G92" s="237">
        <v>1</v>
      </c>
      <c r="H92" s="236" t="e">
        <f t="shared" si="16"/>
        <v>#VALUE!</v>
      </c>
      <c r="I92" s="59"/>
      <c r="J92" s="236">
        <v>0.51</v>
      </c>
      <c r="K92" s="238" t="e">
        <f>INDEX(方位係数!$B$2:$J$10,MATCH($D92,方位係数!$A$2:$A$10,0),MATCH($D$4,方位係数!$B$1:$J$1))</f>
        <v>#N/A</v>
      </c>
      <c r="L92" s="238" t="e">
        <f t="shared" si="17"/>
        <v>#N/A</v>
      </c>
      <c r="M92" s="236">
        <v>0.93</v>
      </c>
      <c r="N92" s="238" t="e">
        <f>INDEX(方位係数!$B$13:$J$21,MATCH($D92,方位係数!$A$13:$A$21,0),MATCH($D$4,方位係数!$B$12:$J$12))</f>
        <v>#N/A</v>
      </c>
      <c r="O92" s="238" t="e">
        <f t="shared" si="18"/>
        <v>#N/A</v>
      </c>
      <c r="P92" s="120"/>
    </row>
    <row r="93" spans="1:17" ht="18.75" customHeight="1" x14ac:dyDescent="0.15">
      <c r="C93" s="235" t="s">
        <v>47</v>
      </c>
      <c r="D93" s="177" t="s">
        <v>26</v>
      </c>
      <c r="E93" s="236" t="e">
        <f>IF(INT(LEFT($D$4,1))&lt;4,1.82,0.99)</f>
        <v>#VALUE!</v>
      </c>
      <c r="F93" s="64"/>
      <c r="G93" s="237">
        <v>1</v>
      </c>
      <c r="H93" s="236" t="e">
        <f t="shared" si="16"/>
        <v>#VALUE!</v>
      </c>
      <c r="I93" s="59"/>
      <c r="J93" s="236">
        <v>0.51</v>
      </c>
      <c r="K93" s="238" t="e">
        <f>INDEX(方位係数!$B$2:$J$10,MATCH($D93,方位係数!$A$2:$A$10,0),MATCH($D$4,方位係数!$B$1:$J$1))</f>
        <v>#N/A</v>
      </c>
      <c r="L93" s="238" t="e">
        <f t="shared" si="17"/>
        <v>#N/A</v>
      </c>
      <c r="M93" s="236">
        <v>0.93</v>
      </c>
      <c r="N93" s="238" t="e">
        <f>INDEX(方位係数!$B$13:$J$21,MATCH($D93,方位係数!$A$13:$A$21,0),MATCH($D$4,方位係数!$B$12:$J$12))</f>
        <v>#N/A</v>
      </c>
      <c r="O93" s="238" t="e">
        <f t="shared" si="18"/>
        <v>#N/A</v>
      </c>
      <c r="P93" s="120"/>
    </row>
    <row r="94" spans="1:17" ht="18.75" customHeight="1" x14ac:dyDescent="0.15">
      <c r="C94" s="235" t="s">
        <v>48</v>
      </c>
      <c r="D94" s="177" t="s">
        <v>26</v>
      </c>
      <c r="E94" s="236" t="e">
        <f>IF(INT(LEFT($D$4,1))&lt;4,2.97,3.22)</f>
        <v>#VALUE!</v>
      </c>
      <c r="F94" s="64"/>
      <c r="G94" s="237">
        <v>1</v>
      </c>
      <c r="H94" s="236" t="e">
        <f t="shared" si="16"/>
        <v>#VALUE!</v>
      </c>
      <c r="I94" s="59"/>
      <c r="J94" s="236">
        <v>0.51</v>
      </c>
      <c r="K94" s="238" t="e">
        <f>INDEX(方位係数!$B$2:$J$10,MATCH($D94,方位係数!$A$2:$A$10,0),MATCH($D$4,方位係数!$B$1:$J$1))</f>
        <v>#N/A</v>
      </c>
      <c r="L94" s="238" t="e">
        <f t="shared" si="17"/>
        <v>#N/A</v>
      </c>
      <c r="M94" s="236">
        <v>0.93</v>
      </c>
      <c r="N94" s="238" t="e">
        <f>INDEX(方位係数!$B$13:$J$21,MATCH($D94,方位係数!$A$13:$A$21,0),MATCH($D$4,方位係数!$B$12:$J$12))</f>
        <v>#N/A</v>
      </c>
      <c r="O94" s="238" t="e">
        <f t="shared" si="18"/>
        <v>#N/A</v>
      </c>
      <c r="P94" s="120"/>
    </row>
    <row r="95" spans="1:17" ht="18.75" customHeight="1" x14ac:dyDescent="0.15">
      <c r="C95" s="235" t="s">
        <v>49</v>
      </c>
      <c r="D95" s="177" t="s">
        <v>26</v>
      </c>
      <c r="E95" s="236" t="e">
        <f>IF(INT(LEFT($D$4,1))&lt;4,2.97,3.22)</f>
        <v>#VALUE!</v>
      </c>
      <c r="F95" s="64"/>
      <c r="G95" s="237">
        <v>1</v>
      </c>
      <c r="H95" s="236" t="e">
        <f t="shared" si="16"/>
        <v>#VALUE!</v>
      </c>
      <c r="I95" s="59"/>
      <c r="J95" s="236">
        <v>0.51</v>
      </c>
      <c r="K95" s="238" t="e">
        <f>INDEX(方位係数!$B$2:$J$10,MATCH($D95,方位係数!$A$2:$A$10,0),MATCH($D$4,方位係数!$B$1:$J$1))</f>
        <v>#N/A</v>
      </c>
      <c r="L95" s="238" t="e">
        <f t="shared" si="17"/>
        <v>#N/A</v>
      </c>
      <c r="M95" s="236">
        <v>0.93</v>
      </c>
      <c r="N95" s="238" t="e">
        <f>INDEX(方位係数!$B$13:$J$21,MATCH($D95,方位係数!$A$13:$A$21,0),MATCH($D$4,方位係数!$B$12:$J$12))</f>
        <v>#N/A</v>
      </c>
      <c r="O95" s="238" t="e">
        <f t="shared" si="18"/>
        <v>#N/A</v>
      </c>
      <c r="P95" s="120"/>
    </row>
    <row r="96" spans="1:17" ht="18.75" customHeight="1" x14ac:dyDescent="0.15">
      <c r="C96" s="235" t="s">
        <v>49</v>
      </c>
      <c r="D96" s="177" t="s">
        <v>29</v>
      </c>
      <c r="E96" s="236" t="e">
        <f>IF(INT(LEFT($D$4,1))&lt;4,0.35,0.66)</f>
        <v>#VALUE!</v>
      </c>
      <c r="F96" s="64"/>
      <c r="G96" s="237">
        <v>1</v>
      </c>
      <c r="H96" s="236" t="e">
        <f t="shared" si="16"/>
        <v>#VALUE!</v>
      </c>
      <c r="I96" s="59"/>
      <c r="J96" s="236">
        <v>0.51</v>
      </c>
      <c r="K96" s="238" t="e">
        <f>INDEX(方位係数!$B$2:$J$10,MATCH($D96,方位係数!$A$2:$A$10,0),MATCH($D$4,方位係数!$B$1:$J$1))</f>
        <v>#N/A</v>
      </c>
      <c r="L96" s="238" t="e">
        <f t="shared" si="17"/>
        <v>#N/A</v>
      </c>
      <c r="M96" s="236">
        <v>0.93</v>
      </c>
      <c r="N96" s="238" t="e">
        <f>INDEX(方位係数!$B$13:$J$21,MATCH($D96,方位係数!$A$13:$A$21,0),MATCH($D$4,方位係数!$B$12:$J$12))</f>
        <v>#N/A</v>
      </c>
      <c r="O96" s="238" t="e">
        <f t="shared" si="18"/>
        <v>#N/A</v>
      </c>
      <c r="P96" s="120"/>
    </row>
    <row r="97" spans="1:17" ht="18.75" customHeight="1" x14ac:dyDescent="0.15">
      <c r="C97" s="235" t="s">
        <v>50</v>
      </c>
      <c r="D97" s="177" t="s">
        <v>28</v>
      </c>
      <c r="E97" s="236" t="e">
        <f>IF(INT(LEFT($D$4,1))&lt;4,0.84,0.99)</f>
        <v>#VALUE!</v>
      </c>
      <c r="F97" s="64"/>
      <c r="G97" s="237">
        <v>1</v>
      </c>
      <c r="H97" s="236" t="e">
        <f t="shared" si="16"/>
        <v>#VALUE!</v>
      </c>
      <c r="I97" s="59"/>
      <c r="J97" s="236">
        <v>0.51</v>
      </c>
      <c r="K97" s="238" t="e">
        <f>INDEX(方位係数!$B$2:$J$10,MATCH($D97,方位係数!$A$2:$A$10,0),MATCH($D$4,方位係数!$B$1:$J$1))</f>
        <v>#N/A</v>
      </c>
      <c r="L97" s="238" t="e">
        <f t="shared" si="17"/>
        <v>#N/A</v>
      </c>
      <c r="M97" s="236">
        <v>0.93</v>
      </c>
      <c r="N97" s="238" t="e">
        <f>INDEX(方位係数!$B$13:$J$21,MATCH($D97,方位係数!$A$13:$A$21,0),MATCH($D$4,方位係数!$B$12:$J$12))</f>
        <v>#N/A</v>
      </c>
      <c r="O97" s="238" t="e">
        <f t="shared" si="18"/>
        <v>#N/A</v>
      </c>
    </row>
    <row r="98" spans="1:17" ht="18.75" customHeight="1" thickBot="1" x14ac:dyDescent="0.2">
      <c r="C98" s="230" t="s">
        <v>44</v>
      </c>
      <c r="D98" s="181" t="s">
        <v>28</v>
      </c>
      <c r="E98" s="240" t="e">
        <f>IF(INT(LEFT($D$4,1))&lt;4,0.35,0.54)</f>
        <v>#VALUE!</v>
      </c>
      <c r="F98" s="65"/>
      <c r="G98" s="241">
        <v>1</v>
      </c>
      <c r="H98" s="240" t="e">
        <f>E98*F98*G98</f>
        <v>#VALUE!</v>
      </c>
      <c r="I98" s="60"/>
      <c r="J98" s="240">
        <v>0.51</v>
      </c>
      <c r="K98" s="242" t="e">
        <f>INDEX(方位係数!$B$2:$J$10,MATCH($D98,方位係数!$A$2:$A$10,0),MATCH($D$4,方位係数!$B$1:$J$1))</f>
        <v>#N/A</v>
      </c>
      <c r="L98" s="242" t="e">
        <f t="shared" si="17"/>
        <v>#N/A</v>
      </c>
      <c r="M98" s="240">
        <v>0.93</v>
      </c>
      <c r="N98" s="242" t="e">
        <f>INDEX(方位係数!$B$13:$J$21,MATCH($D98,方位係数!$A$13:$A$21,0),MATCH($D$4,方位係数!$B$12:$J$12))</f>
        <v>#N/A</v>
      </c>
      <c r="O98" s="242" t="e">
        <f t="shared" si="18"/>
        <v>#N/A</v>
      </c>
    </row>
    <row r="99" spans="1:17" ht="18.75" customHeight="1" thickTop="1" x14ac:dyDescent="0.15">
      <c r="C99" s="400" t="s">
        <v>51</v>
      </c>
      <c r="D99" s="400"/>
      <c r="E99" s="243" t="e">
        <f>SUM(E82:E98)</f>
        <v>#VALUE!</v>
      </c>
      <c r="F99" s="167"/>
      <c r="G99" s="187" t="s">
        <v>199</v>
      </c>
      <c r="H99" s="243" t="e">
        <f>SUM(H82:H98)</f>
        <v>#VALUE!</v>
      </c>
      <c r="I99" s="167"/>
      <c r="J99" s="167"/>
      <c r="K99" s="187" t="s">
        <v>201</v>
      </c>
      <c r="L99" s="244" t="e">
        <f>SUM(L82:L98)</f>
        <v>#N/A</v>
      </c>
      <c r="M99" s="188"/>
      <c r="N99" s="187" t="s">
        <v>200</v>
      </c>
      <c r="O99" s="244" t="e">
        <f>SUM(O82:O98)</f>
        <v>#N/A</v>
      </c>
    </row>
    <row r="100" spans="1:17" x14ac:dyDescent="0.15">
      <c r="C100" s="127" t="s">
        <v>383</v>
      </c>
    </row>
    <row r="101" spans="1:17" x14ac:dyDescent="0.15">
      <c r="C101" s="127" t="s">
        <v>384</v>
      </c>
    </row>
    <row r="103" spans="1:17" x14ac:dyDescent="0.15">
      <c r="B103" s="119" t="s">
        <v>55</v>
      </c>
    </row>
    <row r="104" spans="1:17" ht="17.25" customHeight="1" x14ac:dyDescent="0.15">
      <c r="C104" s="379" t="s">
        <v>21</v>
      </c>
      <c r="D104" s="379"/>
      <c r="E104" s="379"/>
      <c r="F104" s="374" t="s">
        <v>56</v>
      </c>
      <c r="G104" s="375"/>
      <c r="H104" s="374" t="s">
        <v>57</v>
      </c>
      <c r="I104" s="375"/>
      <c r="J104" s="374" t="s">
        <v>58</v>
      </c>
      <c r="K104" s="375"/>
      <c r="L104" s="374" t="s">
        <v>59</v>
      </c>
      <c r="M104" s="375"/>
    </row>
    <row r="105" spans="1:17" x14ac:dyDescent="0.15">
      <c r="C105" s="376" t="s">
        <v>60</v>
      </c>
      <c r="D105" s="377"/>
      <c r="E105" s="378"/>
      <c r="F105" s="245" t="s">
        <v>204</v>
      </c>
      <c r="G105" s="208" t="e">
        <f>$F$21</f>
        <v>#VALUE!</v>
      </c>
      <c r="H105" s="245" t="s">
        <v>61</v>
      </c>
      <c r="I105" s="186" t="e">
        <f>$I$21</f>
        <v>#VALUE!</v>
      </c>
      <c r="J105" s="245" t="s">
        <v>374</v>
      </c>
      <c r="K105" s="246" t="e">
        <f>$N$21</f>
        <v>#N/A</v>
      </c>
      <c r="L105" s="245" t="s">
        <v>205</v>
      </c>
      <c r="M105" s="189" t="e">
        <f>$L$21</f>
        <v>#N/A</v>
      </c>
    </row>
    <row r="106" spans="1:17" s="1" customFormat="1" ht="19.5" thickBot="1" x14ac:dyDescent="0.2">
      <c r="A106" s="119"/>
      <c r="B106" s="119"/>
      <c r="C106" s="376" t="str">
        <f>IF($N$4="床断熱","床・基礎壁・土間外周","基礎壁・土間外周")</f>
        <v>基礎壁・土間外周</v>
      </c>
      <c r="D106" s="377"/>
      <c r="E106" s="378"/>
      <c r="F106" s="192" t="str">
        <f>IF($N$4="床断熱","A2","A3")</f>
        <v>A3</v>
      </c>
      <c r="G106" s="194">
        <f>IF($N$4="床断熱",$F$34,$F$49)</f>
        <v>0</v>
      </c>
      <c r="H106" s="192" t="s">
        <v>420</v>
      </c>
      <c r="I106" s="186">
        <f>IF($N$4="床断熱",$I$34+$I40,$I$49+$I$52)</f>
        <v>0</v>
      </c>
      <c r="J106" s="245" t="s">
        <v>421</v>
      </c>
      <c r="K106" s="246" t="e">
        <f>IF($N$4="床断熱",$N$34,$N$49)</f>
        <v>#N/A</v>
      </c>
      <c r="L106" s="245" t="s">
        <v>422</v>
      </c>
      <c r="M106" s="246" t="e">
        <f>IF($N$4="床断熱",$L$34,$L$49)</f>
        <v>#N/A</v>
      </c>
      <c r="N106" s="247"/>
      <c r="O106" s="247"/>
      <c r="P106" s="122"/>
      <c r="Q106" s="247"/>
    </row>
    <row r="107" spans="1:17" s="1" customFormat="1" ht="19.5" thickTop="1" x14ac:dyDescent="0.15">
      <c r="A107" s="119"/>
      <c r="B107" s="119"/>
      <c r="C107" s="376" t="str">
        <f>IF($I$4="天井断熱","天井","屋根・妻壁")</f>
        <v>屋根・妻壁</v>
      </c>
      <c r="D107" s="377"/>
      <c r="E107" s="378"/>
      <c r="F107" s="192" t="str">
        <f>IF($I$4="天井断熱","A4","A5")</f>
        <v>A5</v>
      </c>
      <c r="G107" s="194">
        <f>IF($I$4="天井断熱",$F$58,$F$72)</f>
        <v>0</v>
      </c>
      <c r="H107" s="192" t="str">
        <f>IF($I$4="天井断熱","q4","q5")</f>
        <v>q5</v>
      </c>
      <c r="I107" s="186">
        <f>IF($I$4="天井断熱",$I$58,$I$72)</f>
        <v>0</v>
      </c>
      <c r="J107" s="192" t="str">
        <f>IF($I$4="天井断熱","mc4","mc5")</f>
        <v>mc5</v>
      </c>
      <c r="K107" s="189" t="e">
        <f>IF($I$4="天井断熱",$N$58,$N$72)</f>
        <v>#N/A</v>
      </c>
      <c r="L107" s="192" t="str">
        <f>IF($I$4="天井断熱","mH4","mH5")</f>
        <v>mH5</v>
      </c>
      <c r="M107" s="189" t="e">
        <f>IF($I$4="天井断熱",$L$58,$L$72)</f>
        <v>#N/A</v>
      </c>
      <c r="N107" s="247"/>
      <c r="O107" s="247"/>
      <c r="P107" s="122"/>
      <c r="Q107" s="311" t="s">
        <v>522</v>
      </c>
    </row>
    <row r="108" spans="1:17" s="1" customFormat="1" x14ac:dyDescent="0.15">
      <c r="A108" s="119"/>
      <c r="B108" s="119"/>
      <c r="C108" s="376" t="s">
        <v>62</v>
      </c>
      <c r="D108" s="377"/>
      <c r="E108" s="378"/>
      <c r="F108" s="245" t="s">
        <v>63</v>
      </c>
      <c r="G108" s="186" t="e">
        <f>$E$99</f>
        <v>#VALUE!</v>
      </c>
      <c r="H108" s="245" t="s">
        <v>64</v>
      </c>
      <c r="I108" s="186" t="e">
        <f>$H$99</f>
        <v>#VALUE!</v>
      </c>
      <c r="J108" s="245" t="s">
        <v>206</v>
      </c>
      <c r="K108" s="189" t="e">
        <f>$O$99</f>
        <v>#N/A</v>
      </c>
      <c r="L108" s="245" t="s">
        <v>207</v>
      </c>
      <c r="M108" s="189" t="e">
        <f>$L$99</f>
        <v>#N/A</v>
      </c>
      <c r="N108" s="247"/>
      <c r="O108" s="247"/>
      <c r="P108" s="122"/>
      <c r="Q108" s="312"/>
    </row>
    <row r="109" spans="1:17" s="1" customFormat="1" ht="19.5" thickBot="1" x14ac:dyDescent="0.2">
      <c r="A109" s="119"/>
      <c r="B109" s="119"/>
      <c r="C109" s="397" t="s">
        <v>65</v>
      </c>
      <c r="D109" s="398"/>
      <c r="E109" s="399"/>
      <c r="F109" s="248" t="s">
        <v>208</v>
      </c>
      <c r="G109" s="218" t="e">
        <f>$E$78</f>
        <v>#VALUE!</v>
      </c>
      <c r="H109" s="248" t="s">
        <v>209</v>
      </c>
      <c r="I109" s="218" t="e">
        <f>$H$78</f>
        <v>#VALUE!</v>
      </c>
      <c r="J109" s="248" t="s">
        <v>210</v>
      </c>
      <c r="K109" s="249" t="e">
        <f>$M$78</f>
        <v>#N/A</v>
      </c>
      <c r="L109" s="248" t="s">
        <v>211</v>
      </c>
      <c r="M109" s="249" t="e">
        <f>$K$78</f>
        <v>#N/A</v>
      </c>
      <c r="N109" s="247"/>
      <c r="O109" s="247"/>
      <c r="P109" s="122"/>
      <c r="Q109" s="312"/>
    </row>
    <row r="110" spans="1:17" s="1" customFormat="1" ht="18" thickTop="1" thickBot="1" x14ac:dyDescent="0.2">
      <c r="A110" s="119"/>
      <c r="B110" s="119"/>
      <c r="C110" s="167"/>
      <c r="D110" s="167"/>
      <c r="E110" s="247"/>
      <c r="F110" s="247"/>
      <c r="G110" s="247"/>
      <c r="H110" s="250" t="s">
        <v>212</v>
      </c>
      <c r="I110" s="208" t="e">
        <f>SUM(I105:I109)</f>
        <v>#VALUE!</v>
      </c>
      <c r="J110" s="251" t="s">
        <v>216</v>
      </c>
      <c r="K110" s="252" t="e">
        <f>SUM(K105:K109)</f>
        <v>#N/A</v>
      </c>
      <c r="L110" s="251" t="s">
        <v>217</v>
      </c>
      <c r="M110" s="252" t="e">
        <f>SUM(M105:M109)</f>
        <v>#N/A</v>
      </c>
      <c r="N110" s="247"/>
      <c r="O110" s="247"/>
      <c r="P110" s="247"/>
      <c r="Q110" s="312"/>
    </row>
    <row r="111" spans="1:17" s="1" customFormat="1" ht="27" customHeight="1" thickTop="1" x14ac:dyDescent="0.15">
      <c r="A111" s="119"/>
      <c r="B111" s="119"/>
      <c r="C111" s="386" t="s">
        <v>375</v>
      </c>
      <c r="D111" s="387"/>
      <c r="E111" s="394" t="s">
        <v>327</v>
      </c>
      <c r="F111" s="395"/>
      <c r="G111" s="382" t="e">
        <f>SUM(G105:G109)</f>
        <v>#VALUE!</v>
      </c>
      <c r="H111" s="380" t="s">
        <v>324</v>
      </c>
      <c r="I111" s="382" t="e">
        <f>ROUNDUP(I110/$G$111,2)</f>
        <v>#VALUE!</v>
      </c>
      <c r="J111" s="392" t="s">
        <v>326</v>
      </c>
      <c r="K111" s="390" t="e">
        <f>ROUNDUP(K110/$G$111*100,1)</f>
        <v>#N/A</v>
      </c>
      <c r="L111" s="380" t="s">
        <v>325</v>
      </c>
      <c r="M111" s="390" t="e">
        <f>ROUNDDOWN(M110/$G$111*100,1)</f>
        <v>#N/A</v>
      </c>
      <c r="N111" s="384"/>
      <c r="O111" s="385"/>
      <c r="P111" s="373" t="s">
        <v>178</v>
      </c>
      <c r="Q111" s="312"/>
    </row>
    <row r="112" spans="1:17" s="1" customFormat="1" ht="27" customHeight="1" thickBot="1" x14ac:dyDescent="0.2">
      <c r="A112" s="119"/>
      <c r="B112" s="119"/>
      <c r="C112" s="388"/>
      <c r="D112" s="389"/>
      <c r="E112" s="393"/>
      <c r="F112" s="396"/>
      <c r="G112" s="383"/>
      <c r="H112" s="381"/>
      <c r="I112" s="383"/>
      <c r="J112" s="393"/>
      <c r="K112" s="391"/>
      <c r="L112" s="381"/>
      <c r="M112" s="391"/>
      <c r="N112" s="384"/>
      <c r="O112" s="385"/>
      <c r="P112" s="373"/>
      <c r="Q112" s="313"/>
    </row>
    <row r="113" ht="6" customHeight="1" x14ac:dyDescent="0.15"/>
    <row r="142" spans="3:4" hidden="1" x14ac:dyDescent="0.15">
      <c r="C142" s="119" t="str">
        <f>IF(COUNTIF($D$4,"*地域"),"good","Error")</f>
        <v>Error</v>
      </c>
      <c r="D142" s="119" t="s">
        <v>335</v>
      </c>
    </row>
    <row r="143" spans="3:4" hidden="1" x14ac:dyDescent="0.15">
      <c r="C143" s="119" t="str">
        <f>IF(COUNTIF($I$4,"*断熱"),"good","Error")</f>
        <v>Error</v>
      </c>
      <c r="D143" s="119" t="s">
        <v>336</v>
      </c>
    </row>
    <row r="144" spans="3:4" hidden="1" x14ac:dyDescent="0.15">
      <c r="C144" s="119" t="str">
        <f>IF(COUNTIF($N$4,"*断熱"),"good","Error")</f>
        <v>Error</v>
      </c>
      <c r="D144" s="119" t="s">
        <v>337</v>
      </c>
    </row>
    <row r="145" spans="3:16" hidden="1" x14ac:dyDescent="0.15">
      <c r="C145" s="119" t="str">
        <f>IF(COUNTBLANK($G$9:$G$20)&gt;0,"Error","")</f>
        <v>Error</v>
      </c>
      <c r="D145" s="119" t="s">
        <v>305</v>
      </c>
    </row>
    <row r="146" spans="3:16" hidden="1" x14ac:dyDescent="0.15">
      <c r="C146" s="119" t="str">
        <f>IF(AND($N$4="床断熱",G26=""),"Error","")</f>
        <v/>
      </c>
      <c r="D146" s="119" t="s">
        <v>392</v>
      </c>
    </row>
    <row r="147" spans="3:16" hidden="1" x14ac:dyDescent="0.15">
      <c r="C147" s="119" t="str">
        <f>IF(AND($N$4="床断熱",COUNTBLANK(G$28:G$33)&gt;0),"Error","")</f>
        <v/>
      </c>
      <c r="D147" s="119" t="s">
        <v>393</v>
      </c>
    </row>
    <row r="148" spans="3:16" hidden="1" x14ac:dyDescent="0.15">
      <c r="C148" s="119" t="str">
        <f>IF(AND($N$4="基礎断熱",G51=""),"Error","")</f>
        <v/>
      </c>
      <c r="D148" s="119" t="s">
        <v>394</v>
      </c>
    </row>
    <row r="149" spans="3:16" hidden="1" x14ac:dyDescent="0.15">
      <c r="C149" s="119" t="str">
        <f>IF(AND($I$4="天井断熱",COUNTBLANK(G$56:G$57)&gt;0),"Error","")</f>
        <v/>
      </c>
      <c r="D149" s="119" t="s">
        <v>395</v>
      </c>
    </row>
    <row r="150" spans="3:16" hidden="1" x14ac:dyDescent="0.15">
      <c r="C150" s="119" t="str">
        <f>IF(AND($I$4="屋根断熱",COUNTBLANK(G$62:G$64)&gt;0),"Error","")</f>
        <v/>
      </c>
      <c r="D150" s="119" t="s">
        <v>306</v>
      </c>
    </row>
    <row r="151" spans="3:16" hidden="1" x14ac:dyDescent="0.15">
      <c r="C151" s="119" t="str">
        <f>IF(AND($I$4="屋根断熱",COUNTBLANK(G$66:G$71)&gt;0),"Error","")</f>
        <v/>
      </c>
      <c r="D151" s="119" t="s">
        <v>307</v>
      </c>
    </row>
    <row r="152" spans="3:16" hidden="1" x14ac:dyDescent="0.15">
      <c r="C152" s="119" t="str">
        <f>IF(AND(OR($D$4="1地域",$D$4="2地域",$D$4="3地域"),OR(COUNTBLANK(F$82:F$90)&gt;0,COUNTBLANK(F$92:F$98)&gt;0)),"Error","")</f>
        <v/>
      </c>
      <c r="D152" s="119" t="s">
        <v>396</v>
      </c>
    </row>
    <row r="153" spans="3:16" hidden="1" x14ac:dyDescent="0.15">
      <c r="C153" s="119" t="str">
        <f>IF(AND(OR($D$4="4地域",$D$4="5地域",$D$4="6地域",$D$4="7地域",$D$4="8地域"),COUNTBLANK(F$82:F$98)&gt;0),"Error","")</f>
        <v/>
      </c>
      <c r="D153" s="119" t="s">
        <v>396</v>
      </c>
    </row>
    <row r="154" spans="3:16" hidden="1" x14ac:dyDescent="0.15">
      <c r="C154" s="119" t="str">
        <f>IF(AND(OR($D$4="1地域",$D$4="2地域",$D$4="3地域"),OR(COUNTBLANK(I$82:I$90)&gt;0,COUNTBLANK(I$92:I$98)&gt;0)),"Error","")</f>
        <v/>
      </c>
      <c r="D154" s="119" t="s">
        <v>397</v>
      </c>
    </row>
    <row r="155" spans="3:16" hidden="1" x14ac:dyDescent="0.15">
      <c r="C155" s="119" t="str">
        <f>IF(AND(OR($D$4="4地域",$D$4="5地域",$D$4="6地域",$D$4="7地域",$D$4="8地域"),COUNTBLANK(I$82:I$98)&gt;0),"Error","")</f>
        <v/>
      </c>
      <c r="D155" s="119" t="s">
        <v>397</v>
      </c>
    </row>
    <row r="156" spans="3:16" ht="24.75" hidden="1" x14ac:dyDescent="0.15">
      <c r="C156" s="119" t="str">
        <f>IF(COUNTBLANK(F76:F77)&gt;0,"Error","")</f>
        <v>Error</v>
      </c>
      <c r="D156" s="119" t="s">
        <v>398</v>
      </c>
      <c r="P156" s="118"/>
    </row>
    <row r="157" spans="3:16" x14ac:dyDescent="0.15">
      <c r="C157" s="253"/>
      <c r="D157" s="253"/>
    </row>
    <row r="158" spans="3:16" x14ac:dyDescent="0.15">
      <c r="C158" s="253"/>
      <c r="D158" s="253"/>
    </row>
  </sheetData>
  <sheetProtection algorithmName="SHA-512" hashValue="oeYWdVtnZiKkFj01iUrJ3D1VSdfwWYpYsMXwFyK6s78euxLtjOODWmbLMRAiLWCj5U4Lu0gNdj9heZkAevyfNg==" saltValue="/HF7n3EqLFJJDasCKENPNg==" spinCount="100000" sheet="1" objects="1" scenarios="1"/>
  <mergeCells count="104">
    <mergeCell ref="Q107:Q112"/>
    <mergeCell ref="C108:E108"/>
    <mergeCell ref="C109:E109"/>
    <mergeCell ref="C111:D112"/>
    <mergeCell ref="E111:F112"/>
    <mergeCell ref="G111:G112"/>
    <mergeCell ref="H111:H112"/>
    <mergeCell ref="C99:D99"/>
    <mergeCell ref="C104:E104"/>
    <mergeCell ref="F104:G104"/>
    <mergeCell ref="H104:I104"/>
    <mergeCell ref="J104:K104"/>
    <mergeCell ref="L104:M104"/>
    <mergeCell ref="P111:P112"/>
    <mergeCell ref="I111:I112"/>
    <mergeCell ref="J111:J112"/>
    <mergeCell ref="K111:K112"/>
    <mergeCell ref="L111:L112"/>
    <mergeCell ref="M111:M112"/>
    <mergeCell ref="N111:O112"/>
    <mergeCell ref="C105:E105"/>
    <mergeCell ref="C106:E106"/>
    <mergeCell ref="C107:E107"/>
    <mergeCell ref="C71:D71"/>
    <mergeCell ref="D72:E72"/>
    <mergeCell ref="P76:P79"/>
    <mergeCell ref="Q76:Q78"/>
    <mergeCell ref="C78:D78"/>
    <mergeCell ref="P82:P85"/>
    <mergeCell ref="Q82:Q88"/>
    <mergeCell ref="C61:D61"/>
    <mergeCell ref="C62:D62"/>
    <mergeCell ref="Q62:Q71"/>
    <mergeCell ref="C63:D63"/>
    <mergeCell ref="C64:D64"/>
    <mergeCell ref="C66:D66"/>
    <mergeCell ref="C67:D67"/>
    <mergeCell ref="C68:D68"/>
    <mergeCell ref="C69:D69"/>
    <mergeCell ref="C70:D70"/>
    <mergeCell ref="C56:E56"/>
    <mergeCell ref="P56:P57"/>
    <mergeCell ref="Q56:Q57"/>
    <mergeCell ref="C57:E57"/>
    <mergeCell ref="D58:E58"/>
    <mergeCell ref="P59:P60"/>
    <mergeCell ref="D49:E49"/>
    <mergeCell ref="C50:E50"/>
    <mergeCell ref="Q50:Q53"/>
    <mergeCell ref="C51:E51"/>
    <mergeCell ref="P51:P52"/>
    <mergeCell ref="C55:E55"/>
    <mergeCell ref="C44:E44"/>
    <mergeCell ref="C45:D45"/>
    <mergeCell ref="Q45:Q48"/>
    <mergeCell ref="C46:D46"/>
    <mergeCell ref="C47:D47"/>
    <mergeCell ref="C48:D48"/>
    <mergeCell ref="D34:E34"/>
    <mergeCell ref="C35:E35"/>
    <mergeCell ref="C36:E36"/>
    <mergeCell ref="Q36:Q40"/>
    <mergeCell ref="C37:E37"/>
    <mergeCell ref="C38:E38"/>
    <mergeCell ref="C39:E39"/>
    <mergeCell ref="Q26:Q33"/>
    <mergeCell ref="C28:D28"/>
    <mergeCell ref="C29:D29"/>
    <mergeCell ref="C30:D30"/>
    <mergeCell ref="C31:D31"/>
    <mergeCell ref="C32:D32"/>
    <mergeCell ref="C33:D33"/>
    <mergeCell ref="C20:D20"/>
    <mergeCell ref="D21:E21"/>
    <mergeCell ref="P22:P25"/>
    <mergeCell ref="C25:D25"/>
    <mergeCell ref="C26:D26"/>
    <mergeCell ref="P26:P33"/>
    <mergeCell ref="P9:P20"/>
    <mergeCell ref="Q9:Q20"/>
    <mergeCell ref="C14:D14"/>
    <mergeCell ref="C15:D15"/>
    <mergeCell ref="C16:D16"/>
    <mergeCell ref="C17:D17"/>
    <mergeCell ref="C18:D18"/>
    <mergeCell ref="C19:D19"/>
    <mergeCell ref="C9:D9"/>
    <mergeCell ref="C10:D10"/>
    <mergeCell ref="C11:D11"/>
    <mergeCell ref="C12:D12"/>
    <mergeCell ref="C13:D13"/>
    <mergeCell ref="A1:J1"/>
    <mergeCell ref="N1:O1"/>
    <mergeCell ref="B3:C3"/>
    <mergeCell ref="D3:O3"/>
    <mergeCell ref="Q3:Q5"/>
    <mergeCell ref="B4:C4"/>
    <mergeCell ref="D4:E4"/>
    <mergeCell ref="F4:H4"/>
    <mergeCell ref="I4:J4"/>
    <mergeCell ref="K4:M4"/>
    <mergeCell ref="N4:O4"/>
    <mergeCell ref="B5:O5"/>
    <mergeCell ref="C8:D8"/>
  </mergeCells>
  <phoneticPr fontId="2"/>
  <conditionalFormatting sqref="G26 G28:G33">
    <cfRule type="expression" dxfId="7" priority="5">
      <formula>($N$4="基礎断熱")</formula>
    </cfRule>
  </conditionalFormatting>
  <conditionalFormatting sqref="G26">
    <cfRule type="expression" dxfId="6" priority="8">
      <formula>(N4="基礎断熱")</formula>
    </cfRule>
  </conditionalFormatting>
  <conditionalFormatting sqref="G36">
    <cfRule type="expression" dxfId="5" priority="4">
      <formula>(N14="基礎断熱")</formula>
    </cfRule>
  </conditionalFormatting>
  <conditionalFormatting sqref="G36:G39">
    <cfRule type="expression" dxfId="4" priority="3">
      <formula>($N$4="基礎断熱")</formula>
    </cfRule>
  </conditionalFormatting>
  <conditionalFormatting sqref="G45:G48">
    <cfRule type="expression" dxfId="3" priority="1">
      <formula>($N$4="床断熱")</formula>
    </cfRule>
  </conditionalFormatting>
  <conditionalFormatting sqref="G51">
    <cfRule type="expression" dxfId="2" priority="2">
      <formula>($N$4="床断熱")</formula>
    </cfRule>
  </conditionalFormatting>
  <conditionalFormatting sqref="G56:G57">
    <cfRule type="expression" dxfId="1" priority="7">
      <formula>($I$4="屋根断熱")</formula>
    </cfRule>
  </conditionalFormatting>
  <conditionalFormatting sqref="G62:G64 G66:G71">
    <cfRule type="expression" dxfId="0" priority="6">
      <formula>($I$4="天井断熱")</formula>
    </cfRule>
  </conditionalFormatting>
  <dataValidations disablePrompts="1" count="3">
    <dataValidation type="list" allowBlank="1" showInputMessage="1" showErrorMessage="1" sqref="D4:E4" xr:uid="{95C958E1-C014-4A9B-929B-14AA9E4EBDCA}">
      <formula1>"1地域,2地域,3地域,4地域,5地域,6地域,7地域,8地域,（選択して下さい）"</formula1>
    </dataValidation>
    <dataValidation type="list" allowBlank="1" showInputMessage="1" showErrorMessage="1" sqref="I4:J4" xr:uid="{CAA1E2FD-21C8-433E-96AA-E9401D8F5A70}">
      <formula1>"屋根断熱,天井断熱,（選択して下さい）"</formula1>
    </dataValidation>
    <dataValidation type="list" allowBlank="1" showInputMessage="1" showErrorMessage="1" sqref="N4:O4" xr:uid="{79ADF3EC-F49B-466C-95C6-D94C71D2198A}">
      <formula1>"床断熱,基礎断熱,（選択して下さい）"</formula1>
    </dataValidation>
  </dataValidations>
  <pageMargins left="0.35433070866141736" right="0.35433070866141736" top="0.51181102362204722" bottom="0.51181102362204722" header="0.31496062992125984" footer="0.31496062992125984"/>
  <pageSetup paperSize="9" orientation="portrait" r:id="rId1"/>
  <headerFooter>
    <oddHeader>&amp;R&amp;"メイリオ,レギュラー"&amp;10&amp;K00B050HOUSE OF THE YEAR 2025</oddHeader>
    <oddFooter>&amp;C&amp;"メイリオ,レギュラー"&amp;9資料②-&amp;A-&amp;P</oddFooter>
  </headerFooter>
  <rowBreaks count="1" manualBreakCount="1">
    <brk id="42" max="1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26</vt:i4>
      </vt:variant>
    </vt:vector>
  </HeadingPairs>
  <TitlesOfParts>
    <vt:vector size="37" baseType="lpstr">
      <vt:lpstr>入力要領</vt:lpstr>
      <vt:lpstr>U値</vt:lpstr>
      <vt:lpstr>Ψ値</vt:lpstr>
      <vt:lpstr>U値2</vt:lpstr>
      <vt:lpstr>U値3</vt:lpstr>
      <vt:lpstr>UA値等</vt:lpstr>
      <vt:lpstr>UA値等2</vt:lpstr>
      <vt:lpstr>UA値等3</vt:lpstr>
      <vt:lpstr>UA値等4</vt:lpstr>
      <vt:lpstr>付録</vt:lpstr>
      <vt:lpstr>方位係数</vt:lpstr>
      <vt:lpstr>Mの選択肢</vt:lpstr>
      <vt:lpstr>NTの選択肢</vt:lpstr>
      <vt:lpstr>ORの選択肢</vt:lpstr>
      <vt:lpstr>UA値等!Print_Area</vt:lpstr>
      <vt:lpstr>UA値等2!Print_Area</vt:lpstr>
      <vt:lpstr>UA値等3!Print_Area</vt:lpstr>
      <vt:lpstr>UA値等4!Print_Area</vt:lpstr>
      <vt:lpstr>U値!Print_Area</vt:lpstr>
      <vt:lpstr>U値2!Print_Area</vt:lpstr>
      <vt:lpstr>U値3!Print_Area</vt:lpstr>
      <vt:lpstr>入力要領!Print_Area</vt:lpstr>
      <vt:lpstr>付録!Print_Area</vt:lpstr>
      <vt:lpstr>QSの選択肢</vt:lpstr>
      <vt:lpstr>U値2!U値_その他</vt:lpstr>
      <vt:lpstr>U値3!U値_その他</vt:lpstr>
      <vt:lpstr>U値_その他</vt:lpstr>
      <vt:lpstr>U値2!U値_屋根天井</vt:lpstr>
      <vt:lpstr>U値3!U値_屋根天井</vt:lpstr>
      <vt:lpstr>U値_屋根天井</vt:lpstr>
      <vt:lpstr>U値2!U値_外壁</vt:lpstr>
      <vt:lpstr>U値3!U値_外壁</vt:lpstr>
      <vt:lpstr>U値_外壁</vt:lpstr>
      <vt:lpstr>U値2!U値_床</vt:lpstr>
      <vt:lpstr>U値3!U値_床</vt:lpstr>
      <vt:lpstr>U値_床</vt:lpstr>
      <vt:lpstr>基礎形状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一般財団法人　日本地域開発センター</dc:creator>
  <cp:lastModifiedBy>宮島 賢一</cp:lastModifiedBy>
  <cp:lastPrinted>2025-09-18T02:15:18Z</cp:lastPrinted>
  <dcterms:created xsi:type="dcterms:W3CDTF">2014-07-26T04:54:01Z</dcterms:created>
  <dcterms:modified xsi:type="dcterms:W3CDTF">2025-09-18T05:45:16Z</dcterms:modified>
</cp:coreProperties>
</file>